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6.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64011"/>
  <bookViews>
    <workbookView xWindow="0" yWindow="0" windowWidth="28800" windowHeight="12300" tabRatio="716"/>
  </bookViews>
  <sheets>
    <sheet name="Introduction" sheetId="40" r:id="rId1"/>
    <sheet name="AAA Summary" sheetId="39" r:id="rId2"/>
    <sheet name="Elective Infra-Renal AAA Repair" sheetId="37" state="hidden" r:id="rId3"/>
    <sheet name="AAA 2022 Report" sheetId="36" state="hidden" r:id="rId4"/>
    <sheet name="LL Revascularisation Summary" sheetId="34" r:id="rId5"/>
    <sheet name="AAA 2021 Report" sheetId="29" state="hidden" r:id="rId6"/>
    <sheet name="LL Revasc Data" sheetId="35" state="hidden" r:id="rId7"/>
    <sheet name="Angioplasty Summary" sheetId="23" r:id="rId8"/>
    <sheet name="Bypass Summary" sheetId="21" r:id="rId9"/>
    <sheet name="Amputation Summary" sheetId="25" r:id="rId10"/>
    <sheet name="CEA Summary" sheetId="12" r:id="rId11"/>
    <sheet name="Lower Limb Bypass" sheetId="33" state="hidden" r:id="rId12"/>
    <sheet name="Lower Limb Angioplasty" sheetId="32" state="hidden" r:id="rId13"/>
    <sheet name="Major Lower Limb Amputation" sheetId="31" state="hidden" r:id="rId14"/>
    <sheet name="Amp Funnel" sheetId="26" state="hidden" r:id="rId15"/>
    <sheet name="Bypass Funnel" sheetId="22" state="hidden" r:id="rId16"/>
    <sheet name="Angio Funnel" sheetId="24" state="hidden" r:id="rId17"/>
    <sheet name="Carotid Endarterectomy" sheetId="38" state="hidden" r:id="rId18"/>
    <sheet name="CEA Limits" sheetId="13" state="hidden" r:id="rId19"/>
    <sheet name="CEA Funnel" sheetId="14" state="hidden" r:id="rId20"/>
    <sheet name="AAA Limits" sheetId="17" state="hidden" r:id="rId21"/>
    <sheet name="AAA Funnel" sheetId="18" state="hidden" r:id="rId22"/>
  </sheets>
  <definedNames>
    <definedName name="_xlnm._FilterDatabase" localSheetId="3" hidden="1">'AAA 2022 Report'!$A$7:$AM$77</definedName>
    <definedName name="_xlnm._FilterDatabase" localSheetId="6" hidden="1">'LL Revasc Data'!$A$1:$AB$92</definedName>
    <definedName name="_xlnm._FilterDatabase" localSheetId="12" hidden="1">'Lower Limb Angioplasty'!$A$1:$R$92</definedName>
    <definedName name="_xlnm._FilterDatabase" localSheetId="11" hidden="1">'Lower Limb Bypass'!$A$1:$K$69</definedName>
    <definedName name="_xlnm._FilterDatabase" localSheetId="13" hidden="1">'Major Lower Limb Amputation'!$A$7:$AM$74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 i="32" l="1"/>
  <c r="R4" i="32"/>
  <c r="R5" i="32"/>
  <c r="R6" i="32"/>
  <c r="R7" i="32"/>
  <c r="R8" i="32"/>
  <c r="R9" i="32"/>
  <c r="R10" i="32"/>
  <c r="R11" i="32"/>
  <c r="R12" i="32"/>
  <c r="R13" i="32"/>
  <c r="R14" i="32"/>
  <c r="R15" i="32"/>
  <c r="R16" i="32"/>
  <c r="R17" i="32"/>
  <c r="R18" i="32"/>
  <c r="R19" i="32"/>
  <c r="R20" i="32"/>
  <c r="R21" i="32"/>
  <c r="R22" i="32"/>
  <c r="R23" i="32"/>
  <c r="R24" i="32"/>
  <c r="R25" i="32"/>
  <c r="R26" i="32"/>
  <c r="R27" i="32"/>
  <c r="R28" i="32"/>
  <c r="R29" i="32"/>
  <c r="R30" i="32"/>
  <c r="R31" i="32"/>
  <c r="R32" i="32"/>
  <c r="R33" i="32"/>
  <c r="R34" i="32"/>
  <c r="R35" i="32"/>
  <c r="R36" i="32"/>
  <c r="R37" i="32"/>
  <c r="R38" i="32"/>
  <c r="R39" i="32"/>
  <c r="R40" i="32"/>
  <c r="R41" i="32"/>
  <c r="R42" i="32"/>
  <c r="R43" i="32"/>
  <c r="R44" i="32"/>
  <c r="R45" i="32"/>
  <c r="R46" i="32"/>
  <c r="R47" i="32"/>
  <c r="R48" i="32"/>
  <c r="R49" i="32"/>
  <c r="R50" i="32"/>
  <c r="R51" i="32"/>
  <c r="R52" i="32"/>
  <c r="R53" i="32"/>
  <c r="R54" i="32"/>
  <c r="R55" i="32"/>
  <c r="R56" i="32"/>
  <c r="R57" i="32"/>
  <c r="R58" i="32"/>
  <c r="R59" i="32"/>
  <c r="R60" i="32"/>
  <c r="R61" i="32"/>
  <c r="R62" i="32"/>
  <c r="R63" i="32"/>
  <c r="R64" i="32"/>
  <c r="R65" i="32"/>
  <c r="R66" i="32"/>
  <c r="R67" i="32"/>
  <c r="R68" i="32"/>
  <c r="R69" i="32"/>
  <c r="R70" i="32"/>
  <c r="R71" i="32"/>
  <c r="R72" i="32"/>
  <c r="R73" i="32"/>
  <c r="R74" i="32"/>
  <c r="R75" i="32"/>
  <c r="R76" i="32"/>
  <c r="R77" i="32"/>
  <c r="R78" i="32"/>
  <c r="R79" i="32"/>
  <c r="R80" i="32"/>
  <c r="R81" i="32"/>
  <c r="R82" i="32"/>
  <c r="R83" i="32"/>
  <c r="R84" i="32"/>
  <c r="R85" i="32"/>
  <c r="R86" i="32"/>
  <c r="R87" i="32"/>
  <c r="R88" i="32"/>
  <c r="R89" i="32"/>
  <c r="R90" i="32"/>
  <c r="R91" i="32"/>
  <c r="R92" i="32"/>
  <c r="R2" i="32"/>
  <c r="Q3" i="32"/>
  <c r="Q4" i="32"/>
  <c r="Q5" i="32"/>
  <c r="Q6" i="32"/>
  <c r="Q7" i="32"/>
  <c r="Q8" i="32"/>
  <c r="Q9" i="32"/>
  <c r="Q10" i="32"/>
  <c r="Q11" i="32"/>
  <c r="Q12" i="32"/>
  <c r="Q13" i="32"/>
  <c r="Q14" i="32"/>
  <c r="Q15" i="32"/>
  <c r="Q16" i="32"/>
  <c r="Q17" i="32"/>
  <c r="Q18" i="32"/>
  <c r="Q19" i="32"/>
  <c r="Q20" i="32"/>
  <c r="Q21" i="32"/>
  <c r="Q22" i="32"/>
  <c r="Q23" i="32"/>
  <c r="Q24" i="32"/>
  <c r="Q25" i="32"/>
  <c r="Q26" i="32"/>
  <c r="Q27" i="32"/>
  <c r="Q28" i="32"/>
  <c r="Q29" i="32"/>
  <c r="Q30" i="32"/>
  <c r="Q31" i="32"/>
  <c r="Q32" i="32"/>
  <c r="Q33" i="32"/>
  <c r="Q34" i="32"/>
  <c r="Q35" i="32"/>
  <c r="Q36" i="32"/>
  <c r="Q37" i="32"/>
  <c r="Q38" i="32"/>
  <c r="Q39" i="32"/>
  <c r="Q40" i="32"/>
  <c r="Q41" i="32"/>
  <c r="Q42" i="32"/>
  <c r="Q43" i="32"/>
  <c r="Q44" i="32"/>
  <c r="Q45" i="32"/>
  <c r="Q46" i="32"/>
  <c r="Q47" i="32"/>
  <c r="Q48" i="32"/>
  <c r="Q49" i="32"/>
  <c r="Q50" i="32"/>
  <c r="Q51" i="32"/>
  <c r="Q52" i="32"/>
  <c r="Q53" i="32"/>
  <c r="Q54" i="32"/>
  <c r="Q55" i="32"/>
  <c r="Q56" i="32"/>
  <c r="Q57" i="32"/>
  <c r="Q58" i="32"/>
  <c r="Q59" i="32"/>
  <c r="Q60" i="32"/>
  <c r="Q61" i="32"/>
  <c r="Q62" i="32"/>
  <c r="Q63" i="32"/>
  <c r="Q64" i="32"/>
  <c r="Q65" i="32"/>
  <c r="Q66" i="32"/>
  <c r="Q67" i="32"/>
  <c r="Q68" i="32"/>
  <c r="Q69" i="32"/>
  <c r="Q70" i="32"/>
  <c r="Q71" i="32"/>
  <c r="Q72" i="32"/>
  <c r="Q73" i="32"/>
  <c r="Q74" i="32"/>
  <c r="Q75" i="32"/>
  <c r="Q76" i="32"/>
  <c r="Q77" i="32"/>
  <c r="Q78" i="32"/>
  <c r="Q79" i="32"/>
  <c r="Q80" i="32"/>
  <c r="Q81" i="32"/>
  <c r="Q82" i="32"/>
  <c r="Q83" i="32"/>
  <c r="Q84" i="32"/>
  <c r="Q85" i="32"/>
  <c r="Q86" i="32"/>
  <c r="Q87" i="32"/>
  <c r="Q88" i="32"/>
  <c r="Q89" i="32"/>
  <c r="Q90" i="32"/>
  <c r="Q91" i="32"/>
  <c r="Q92" i="32"/>
  <c r="Q2" i="32"/>
  <c r="AB8" i="31" l="1"/>
  <c r="AB9" i="31"/>
  <c r="AB10" i="31"/>
  <c r="AB11" i="31"/>
  <c r="AB12" i="31"/>
  <c r="AB13" i="31"/>
  <c r="AB14" i="31"/>
  <c r="AB15" i="31"/>
  <c r="AB16" i="31"/>
  <c r="AB17" i="31"/>
  <c r="AB18" i="31"/>
  <c r="AB19" i="31"/>
  <c r="AB20" i="31"/>
  <c r="AB21" i="31"/>
  <c r="AB22" i="31"/>
  <c r="AB23" i="31"/>
  <c r="AB24" i="31"/>
  <c r="AB25" i="31"/>
  <c r="AB26" i="31"/>
  <c r="AB27" i="31"/>
  <c r="AB28" i="31"/>
  <c r="AB29" i="31"/>
  <c r="AB30" i="31"/>
  <c r="AB31" i="31"/>
  <c r="AB32" i="31"/>
  <c r="AB33" i="31"/>
  <c r="AB34" i="31"/>
  <c r="AB35" i="31"/>
  <c r="AB36" i="31"/>
  <c r="AB37" i="31"/>
  <c r="AB38" i="31"/>
  <c r="AB39" i="31"/>
  <c r="AB40" i="31"/>
  <c r="AB41" i="31"/>
  <c r="AB42" i="31"/>
  <c r="AB43" i="31"/>
  <c r="AB44" i="31"/>
  <c r="AB45" i="31"/>
  <c r="AB46" i="31"/>
  <c r="AB47" i="31"/>
  <c r="AB48" i="31"/>
  <c r="AB49" i="31"/>
  <c r="AB50" i="31"/>
  <c r="AB51" i="31"/>
  <c r="AB52" i="31"/>
  <c r="AB53" i="31"/>
  <c r="AB54" i="31"/>
  <c r="AB55" i="31"/>
  <c r="AB56" i="31"/>
  <c r="AB57" i="31"/>
  <c r="AB58" i="31"/>
  <c r="AB59" i="31"/>
  <c r="AB60" i="31"/>
  <c r="AB61" i="31"/>
  <c r="AB62" i="31"/>
  <c r="AB63" i="31"/>
  <c r="AB64" i="31"/>
  <c r="AB65" i="31"/>
  <c r="AB66" i="31"/>
  <c r="AB67" i="31"/>
  <c r="AB68" i="31"/>
  <c r="AB69" i="31"/>
  <c r="AB70" i="31"/>
  <c r="AB71" i="31"/>
  <c r="AB72" i="31"/>
  <c r="AB73" i="31"/>
  <c r="AB74" i="31"/>
  <c r="AM3" i="25" l="1"/>
  <c r="AM4" i="25"/>
  <c r="AM5" i="25"/>
  <c r="AM6" i="25"/>
  <c r="AM7" i="25"/>
  <c r="AM8" i="25"/>
  <c r="AM9" i="25"/>
  <c r="AM10" i="25"/>
  <c r="AM11" i="25"/>
  <c r="AM12" i="25"/>
  <c r="AM13" i="25"/>
  <c r="AM14" i="25"/>
  <c r="AM15" i="25"/>
  <c r="AM16" i="25"/>
  <c r="AM17" i="25"/>
  <c r="AM18" i="25"/>
  <c r="AM19" i="25"/>
  <c r="AM20" i="25"/>
  <c r="AM21" i="25"/>
  <c r="AM22" i="25"/>
  <c r="AM23" i="25"/>
  <c r="AM24" i="25"/>
  <c r="AM25" i="25"/>
  <c r="AM26" i="25"/>
  <c r="AM27" i="25"/>
  <c r="AM28" i="25"/>
  <c r="AM29" i="25"/>
  <c r="AM30" i="25"/>
  <c r="AM31" i="25"/>
  <c r="AM32" i="25"/>
  <c r="AM33" i="25"/>
  <c r="AM34" i="25"/>
  <c r="AM35" i="25"/>
  <c r="AM36" i="25"/>
  <c r="AM37" i="25"/>
  <c r="AM38" i="25"/>
  <c r="AM39" i="25"/>
  <c r="AM40" i="25"/>
  <c r="AM41" i="25"/>
  <c r="AM42" i="25"/>
  <c r="AM43" i="25"/>
  <c r="AM44" i="25"/>
  <c r="AM45" i="25"/>
  <c r="AM46" i="25"/>
  <c r="AM47" i="25"/>
  <c r="AM48" i="25"/>
  <c r="AM49" i="25"/>
  <c r="AM50" i="25"/>
  <c r="AM51" i="25"/>
  <c r="AM52" i="25"/>
  <c r="AM53" i="25"/>
  <c r="AM54" i="25"/>
  <c r="AM55" i="25"/>
  <c r="AM56" i="25"/>
  <c r="AM57" i="25"/>
  <c r="AM58" i="25"/>
  <c r="AM59" i="25"/>
  <c r="AM60" i="25"/>
  <c r="AM2" i="25"/>
  <c r="AI3" i="23" l="1"/>
  <c r="AI4" i="23"/>
  <c r="AI5" i="23"/>
  <c r="AI6" i="23"/>
  <c r="AI7" i="23"/>
  <c r="AI8" i="23"/>
  <c r="AI9" i="23"/>
  <c r="AI10" i="23"/>
  <c r="AI11" i="23"/>
  <c r="AI12" i="23"/>
  <c r="AI13" i="23"/>
  <c r="AI14" i="23"/>
  <c r="AI15" i="23"/>
  <c r="AI16" i="23"/>
  <c r="AI17" i="23"/>
  <c r="AI18" i="23"/>
  <c r="AI19" i="23"/>
  <c r="AI20" i="23"/>
  <c r="AI21" i="23"/>
  <c r="AI22" i="23"/>
  <c r="AI23" i="23"/>
  <c r="AI24" i="23"/>
  <c r="AI25" i="23"/>
  <c r="AI26" i="23"/>
  <c r="AI27" i="23"/>
  <c r="AI28" i="23"/>
  <c r="AI29" i="23"/>
  <c r="AI30" i="23"/>
  <c r="AI31" i="23"/>
  <c r="AI32" i="23"/>
  <c r="AI33" i="23"/>
  <c r="AI34" i="23"/>
  <c r="AI35" i="23"/>
  <c r="AI36" i="23"/>
  <c r="AI37" i="23"/>
  <c r="AI38" i="23"/>
  <c r="AI39" i="23"/>
  <c r="AI40" i="23"/>
  <c r="AI41" i="23"/>
  <c r="AI42" i="23"/>
  <c r="AI43" i="23"/>
  <c r="AI44" i="23"/>
  <c r="AI45" i="23"/>
  <c r="AI46" i="23"/>
  <c r="AI47" i="23"/>
  <c r="AI48" i="23"/>
  <c r="AI49" i="23"/>
  <c r="AI50" i="23"/>
  <c r="AI51" i="23"/>
  <c r="AI52" i="23"/>
  <c r="AI53" i="23"/>
  <c r="AI54" i="23"/>
  <c r="AI55" i="23"/>
  <c r="AI56" i="23"/>
  <c r="AI57" i="23"/>
  <c r="AI58" i="23"/>
  <c r="AI59" i="23"/>
  <c r="AI60" i="23"/>
  <c r="AH3" i="23"/>
  <c r="AH4" i="23"/>
  <c r="AH5" i="23"/>
  <c r="AH6" i="23"/>
  <c r="AH7" i="23"/>
  <c r="AH8" i="23"/>
  <c r="AH9" i="23"/>
  <c r="AH10" i="23"/>
  <c r="AH11" i="23"/>
  <c r="AH12" i="23"/>
  <c r="AH13" i="23"/>
  <c r="AH14" i="23"/>
  <c r="AH15" i="23"/>
  <c r="AH16" i="23"/>
  <c r="AH17" i="23"/>
  <c r="AH18" i="23"/>
  <c r="AH19" i="23"/>
  <c r="AH20" i="23"/>
  <c r="AH21" i="23"/>
  <c r="AH22" i="23"/>
  <c r="AH23" i="23"/>
  <c r="AH24" i="23"/>
  <c r="AH25" i="23"/>
  <c r="AH26" i="23"/>
  <c r="AH27" i="23"/>
  <c r="AH28" i="23"/>
  <c r="AH29" i="23"/>
  <c r="AH30" i="23"/>
  <c r="AH31" i="23"/>
  <c r="AH32" i="23"/>
  <c r="AH33" i="23"/>
  <c r="AH34" i="23"/>
  <c r="AH35" i="23"/>
  <c r="AH36" i="23"/>
  <c r="AH37" i="23"/>
  <c r="AH38" i="23"/>
  <c r="AH39" i="23"/>
  <c r="AH40" i="23"/>
  <c r="AH41" i="23"/>
  <c r="AH42" i="23"/>
  <c r="AH43" i="23"/>
  <c r="AH44" i="23"/>
  <c r="AH45" i="23"/>
  <c r="AH46" i="23"/>
  <c r="AH47" i="23"/>
  <c r="AH48" i="23"/>
  <c r="AH49" i="23"/>
  <c r="AH50" i="23"/>
  <c r="AH51" i="23"/>
  <c r="AH52" i="23"/>
  <c r="AH53" i="23"/>
  <c r="AH54" i="23"/>
  <c r="AH55" i="23"/>
  <c r="AH56" i="23"/>
  <c r="AH57" i="23"/>
  <c r="AH58" i="23"/>
  <c r="AH59" i="23"/>
  <c r="AH60" i="23"/>
  <c r="AI2" i="23"/>
  <c r="AH2" i="23"/>
  <c r="AG3" i="23"/>
  <c r="AG4" i="23"/>
  <c r="AG5" i="23"/>
  <c r="AG6" i="23"/>
  <c r="AG7" i="23"/>
  <c r="AG8" i="23"/>
  <c r="AG9" i="23"/>
  <c r="AG10" i="23"/>
  <c r="AG11" i="23"/>
  <c r="AG12" i="23"/>
  <c r="AG13" i="23"/>
  <c r="AG14" i="23"/>
  <c r="AG15" i="23"/>
  <c r="AG16" i="23"/>
  <c r="AG17" i="23"/>
  <c r="AG18" i="23"/>
  <c r="AG19" i="23"/>
  <c r="AG20" i="23"/>
  <c r="AG21" i="23"/>
  <c r="AG22" i="23"/>
  <c r="AG23" i="23"/>
  <c r="AG24" i="23"/>
  <c r="AG25" i="23"/>
  <c r="AG26" i="23"/>
  <c r="AG27" i="23"/>
  <c r="AG28" i="23"/>
  <c r="AG29" i="23"/>
  <c r="AG30" i="23"/>
  <c r="AG31" i="23"/>
  <c r="AG32" i="23"/>
  <c r="AG33" i="23"/>
  <c r="AG34" i="23"/>
  <c r="AG35" i="23"/>
  <c r="AG36" i="23"/>
  <c r="AG37" i="23"/>
  <c r="AG38" i="23"/>
  <c r="AG39" i="23"/>
  <c r="AG40" i="23"/>
  <c r="AG41" i="23"/>
  <c r="AG42" i="23"/>
  <c r="AG43" i="23"/>
  <c r="AG44" i="23"/>
  <c r="AG45" i="23"/>
  <c r="AG46" i="23"/>
  <c r="AG47" i="23"/>
  <c r="AG48" i="23"/>
  <c r="AG49" i="23"/>
  <c r="AG50" i="23"/>
  <c r="AG51" i="23"/>
  <c r="AG52" i="23"/>
  <c r="AG53" i="23"/>
  <c r="AG54" i="23"/>
  <c r="AG55" i="23"/>
  <c r="AG56" i="23"/>
  <c r="AG57" i="23"/>
  <c r="AG58" i="23"/>
  <c r="AG59" i="23"/>
  <c r="AG60" i="23"/>
  <c r="AG2" i="23"/>
  <c r="AJ61" i="37" l="1"/>
  <c r="AI61" i="37"/>
  <c r="AJ48" i="37"/>
  <c r="AI48" i="37"/>
  <c r="AJ35" i="37"/>
  <c r="AI35" i="37"/>
  <c r="AJ30" i="37"/>
  <c r="AI30" i="37"/>
  <c r="AJ27" i="37"/>
  <c r="AI27" i="37"/>
  <c r="AU2" i="39" l="1"/>
  <c r="M28" i="39"/>
  <c r="L59" i="39"/>
  <c r="B53" i="39"/>
  <c r="AD2" i="39"/>
  <c r="AB2" i="39"/>
  <c r="T9" i="37" l="1"/>
  <c r="T17" i="37"/>
  <c r="T25" i="37"/>
  <c r="T33" i="37"/>
  <c r="T41" i="37"/>
  <c r="T49" i="37"/>
  <c r="T57" i="37"/>
  <c r="T65" i="37"/>
  <c r="T73" i="37"/>
  <c r="U14" i="37"/>
  <c r="U22" i="37"/>
  <c r="U30" i="37"/>
  <c r="U38" i="37"/>
  <c r="U46" i="37"/>
  <c r="U54" i="37"/>
  <c r="U62" i="37"/>
  <c r="U70" i="37"/>
  <c r="U57" i="37"/>
  <c r="T13" i="37"/>
  <c r="T45" i="37"/>
  <c r="T69" i="37"/>
  <c r="U34" i="37"/>
  <c r="U74" i="37"/>
  <c r="T54" i="37"/>
  <c r="U11" i="37"/>
  <c r="U51" i="37"/>
  <c r="T23" i="37"/>
  <c r="T39" i="37"/>
  <c r="T71" i="37"/>
  <c r="U36" i="37"/>
  <c r="T16" i="37"/>
  <c r="T48" i="37"/>
  <c r="U21" i="37"/>
  <c r="U61" i="37"/>
  <c r="T10" i="37"/>
  <c r="T18" i="37"/>
  <c r="T26" i="37"/>
  <c r="T34" i="37"/>
  <c r="T42" i="37"/>
  <c r="T50" i="37"/>
  <c r="T58" i="37"/>
  <c r="T66" i="37"/>
  <c r="T74" i="37"/>
  <c r="U15" i="37"/>
  <c r="U23" i="37"/>
  <c r="U31" i="37"/>
  <c r="U39" i="37"/>
  <c r="U47" i="37"/>
  <c r="U55" i="37"/>
  <c r="U63" i="37"/>
  <c r="U71" i="37"/>
  <c r="U65" i="37"/>
  <c r="T21" i="37"/>
  <c r="T53" i="37"/>
  <c r="U10" i="37"/>
  <c r="U42" i="37"/>
  <c r="U66" i="37"/>
  <c r="T38" i="37"/>
  <c r="U19" i="37"/>
  <c r="U8" i="37"/>
  <c r="T63" i="37"/>
  <c r="U44" i="37"/>
  <c r="T24" i="37"/>
  <c r="T40" i="37"/>
  <c r="U13" i="37"/>
  <c r="U69" i="37"/>
  <c r="T11" i="37"/>
  <c r="T19" i="37"/>
  <c r="T27" i="37"/>
  <c r="T35" i="37"/>
  <c r="T43" i="37"/>
  <c r="T51" i="37"/>
  <c r="T59" i="37"/>
  <c r="T67" i="37"/>
  <c r="T8" i="37"/>
  <c r="U16" i="37"/>
  <c r="U24" i="37"/>
  <c r="U32" i="37"/>
  <c r="U40" i="37"/>
  <c r="U48" i="37"/>
  <c r="U56" i="37"/>
  <c r="U64" i="37"/>
  <c r="U72" i="37"/>
  <c r="T29" i="37"/>
  <c r="T61" i="37"/>
  <c r="U26" i="37"/>
  <c r="U58" i="37"/>
  <c r="T46" i="37"/>
  <c r="U35" i="37"/>
  <c r="U59" i="37"/>
  <c r="T31" i="37"/>
  <c r="T47" i="37"/>
  <c r="U20" i="37"/>
  <c r="U68" i="37"/>
  <c r="T72" i="37"/>
  <c r="U45" i="37"/>
  <c r="T12" i="37"/>
  <c r="T20" i="37"/>
  <c r="T28" i="37"/>
  <c r="T36" i="37"/>
  <c r="T44" i="37"/>
  <c r="T52" i="37"/>
  <c r="T60" i="37"/>
  <c r="T68" i="37"/>
  <c r="U9" i="37"/>
  <c r="U17" i="37"/>
  <c r="U25" i="37"/>
  <c r="U33" i="37"/>
  <c r="U41" i="37"/>
  <c r="U49" i="37"/>
  <c r="U73" i="37"/>
  <c r="T37" i="37"/>
  <c r="U18" i="37"/>
  <c r="U50" i="37"/>
  <c r="T30" i="37"/>
  <c r="T70" i="37"/>
  <c r="U43" i="37"/>
  <c r="T15" i="37"/>
  <c r="T55" i="37"/>
  <c r="U52" i="37"/>
  <c r="T32" i="37"/>
  <c r="T56" i="37"/>
  <c r="U37" i="37"/>
  <c r="T14" i="37"/>
  <c r="T22" i="37"/>
  <c r="T62" i="37"/>
  <c r="U27" i="37"/>
  <c r="U67" i="37"/>
  <c r="U12" i="37"/>
  <c r="U28" i="37"/>
  <c r="U60" i="37"/>
  <c r="T64" i="37"/>
  <c r="U29" i="37"/>
  <c r="U53" i="37"/>
  <c r="AM8" i="37"/>
  <c r="AP23" i="39" s="1"/>
  <c r="AP61" i="37"/>
  <c r="AN48" i="37"/>
  <c r="AP35" i="37"/>
  <c r="AN30" i="37"/>
  <c r="AP27" i="37"/>
  <c r="AN61" i="37"/>
  <c r="AN27" i="37"/>
  <c r="AO48" i="37"/>
  <c r="AM27" i="37"/>
  <c r="AO61" i="37"/>
  <c r="AM48" i="37"/>
  <c r="AO35" i="37"/>
  <c r="AM30" i="37"/>
  <c r="AO27" i="37"/>
  <c r="AP48" i="37"/>
  <c r="AN35" i="37"/>
  <c r="AP30" i="37"/>
  <c r="AM61" i="37"/>
  <c r="AM35" i="37"/>
  <c r="AO30" i="37"/>
  <c r="E53" i="39"/>
  <c r="J53" i="39"/>
  <c r="H53" i="39"/>
  <c r="I53" i="39"/>
  <c r="AM56" i="37"/>
  <c r="AP43" i="39" s="1"/>
  <c r="AN62" i="37"/>
  <c r="AQ48" i="39" s="1"/>
  <c r="AN46" i="37"/>
  <c r="AQ35" i="39" s="1"/>
  <c r="AN14" i="37"/>
  <c r="AQ41" i="39" s="1"/>
  <c r="AN74" i="37"/>
  <c r="AQ22" i="39" s="1"/>
  <c r="AN58" i="37"/>
  <c r="AQ24" i="39" s="1"/>
  <c r="AN42" i="37"/>
  <c r="AQ38" i="39" s="1"/>
  <c r="AN26" i="37"/>
  <c r="AQ39" i="39" s="1"/>
  <c r="AN70" i="37"/>
  <c r="AQ51" i="39" s="1"/>
  <c r="AN54" i="37"/>
  <c r="AQ26" i="39" s="1"/>
  <c r="AN38" i="37"/>
  <c r="AQ57" i="39" s="1"/>
  <c r="AN22" i="37"/>
  <c r="AQ42" i="39" s="1"/>
  <c r="AN66" i="37"/>
  <c r="AQ53" i="39" s="1"/>
  <c r="AN50" i="37"/>
  <c r="AQ5" i="39" s="1"/>
  <c r="AN34" i="37"/>
  <c r="AQ36" i="39" s="1"/>
  <c r="AN18" i="37"/>
  <c r="AQ31" i="39" s="1"/>
  <c r="AN10" i="37"/>
  <c r="AQ12" i="39" s="1"/>
  <c r="AO73" i="37"/>
  <c r="AR19" i="39" s="1"/>
  <c r="AO69" i="37"/>
  <c r="AR16" i="39" s="1"/>
  <c r="AO65" i="37"/>
  <c r="AR55" i="39" s="1"/>
  <c r="AO57" i="37"/>
  <c r="AR20" i="39" s="1"/>
  <c r="AO53" i="37"/>
  <c r="AR9" i="39" s="1"/>
  <c r="AO49" i="37"/>
  <c r="AO45" i="37"/>
  <c r="AR14" i="39" s="1"/>
  <c r="AO41" i="37"/>
  <c r="AR2" i="39" s="1"/>
  <c r="AO37" i="37"/>
  <c r="AR6" i="39" s="1"/>
  <c r="AO33" i="37"/>
  <c r="AR49" i="39" s="1"/>
  <c r="AO29" i="37"/>
  <c r="AR21" i="39" s="1"/>
  <c r="AO25" i="37"/>
  <c r="AR37" i="39" s="1"/>
  <c r="AO21" i="37"/>
  <c r="AR13" i="39" s="1"/>
  <c r="AO17" i="37"/>
  <c r="AO13" i="37"/>
  <c r="AP72" i="37"/>
  <c r="AS29" i="39" s="1"/>
  <c r="AP68" i="37"/>
  <c r="AS33" i="39" s="1"/>
  <c r="AP64" i="37"/>
  <c r="AS15" i="39" s="1"/>
  <c r="AP60" i="37"/>
  <c r="AS4" i="39" s="1"/>
  <c r="AP56" i="37"/>
  <c r="AS43" i="39" s="1"/>
  <c r="AP52" i="37"/>
  <c r="AS47" i="39" s="1"/>
  <c r="AP44" i="37"/>
  <c r="AS32" i="39" s="1"/>
  <c r="AP40" i="37"/>
  <c r="AS59" i="39" s="1"/>
  <c r="AP36" i="37"/>
  <c r="AS7" i="39" s="1"/>
  <c r="AP32" i="37"/>
  <c r="AS34" i="39" s="1"/>
  <c r="AP28" i="37"/>
  <c r="AS28" i="39" s="1"/>
  <c r="AP24" i="37"/>
  <c r="AS50" i="39" s="1"/>
  <c r="AP20" i="37"/>
  <c r="AS10" i="39" s="1"/>
  <c r="AP16" i="37"/>
  <c r="AS11" i="39" s="1"/>
  <c r="AP12" i="37"/>
  <c r="AS25" i="39" s="1"/>
  <c r="AM40" i="37"/>
  <c r="AP59" i="39" s="1"/>
  <c r="AN73" i="37"/>
  <c r="AQ19" i="39" s="1"/>
  <c r="AN69" i="37"/>
  <c r="AQ16" i="39" s="1"/>
  <c r="AN65" i="37"/>
  <c r="AQ55" i="39" s="1"/>
  <c r="AN57" i="37"/>
  <c r="AQ20" i="39" s="1"/>
  <c r="AN53" i="37"/>
  <c r="AQ9" i="39" s="1"/>
  <c r="AN49" i="37"/>
  <c r="AN45" i="37"/>
  <c r="AQ14" i="39" s="1"/>
  <c r="AN41" i="37"/>
  <c r="AQ2" i="39" s="1"/>
  <c r="AN37" i="37"/>
  <c r="AQ6" i="39" s="1"/>
  <c r="AN33" i="37"/>
  <c r="AQ49" i="39" s="1"/>
  <c r="AN29" i="37"/>
  <c r="AQ21" i="39" s="1"/>
  <c r="AN25" i="37"/>
  <c r="AQ37" i="39" s="1"/>
  <c r="AN21" i="37"/>
  <c r="AQ13" i="39" s="1"/>
  <c r="AN17" i="37"/>
  <c r="AN13" i="37"/>
  <c r="AO72" i="37"/>
  <c r="AR29" i="39" s="1"/>
  <c r="AO68" i="37"/>
  <c r="AR33" i="39" s="1"/>
  <c r="AO64" i="37"/>
  <c r="AR15" i="39" s="1"/>
  <c r="AO60" i="37"/>
  <c r="AR4" i="39" s="1"/>
  <c r="AO56" i="37"/>
  <c r="AR43" i="39" s="1"/>
  <c r="AO52" i="37"/>
  <c r="AR47" i="39" s="1"/>
  <c r="AO44" i="37"/>
  <c r="AR32" i="39" s="1"/>
  <c r="AO40" i="37"/>
  <c r="AR59" i="39" s="1"/>
  <c r="AO36" i="37"/>
  <c r="AR7" i="39" s="1"/>
  <c r="AO32" i="37"/>
  <c r="AR34" i="39" s="1"/>
  <c r="AO28" i="37"/>
  <c r="AR28" i="39" s="1"/>
  <c r="AO24" i="37"/>
  <c r="AR50" i="39" s="1"/>
  <c r="AO20" i="37"/>
  <c r="AR10" i="39" s="1"/>
  <c r="AO16" i="37"/>
  <c r="AR11" i="39" s="1"/>
  <c r="AO12" i="37"/>
  <c r="AR25" i="39" s="1"/>
  <c r="AP8" i="37"/>
  <c r="AS23" i="39" s="1"/>
  <c r="AP71" i="37"/>
  <c r="AS18" i="39" s="1"/>
  <c r="AP67" i="37"/>
  <c r="AS46" i="39" s="1"/>
  <c r="AP63" i="37"/>
  <c r="AS45" i="39" s="1"/>
  <c r="AP59" i="37"/>
  <c r="AS60" i="39" s="1"/>
  <c r="AP55" i="37"/>
  <c r="AS17" i="39" s="1"/>
  <c r="AP51" i="37"/>
  <c r="AS3" i="39" s="1"/>
  <c r="AP47" i="37"/>
  <c r="AS52" i="39" s="1"/>
  <c r="AP43" i="37"/>
  <c r="AS40" i="39" s="1"/>
  <c r="AP39" i="37"/>
  <c r="AS44" i="39" s="1"/>
  <c r="AP31" i="37"/>
  <c r="AS56" i="39" s="1"/>
  <c r="AP23" i="37"/>
  <c r="AS27" i="39" s="1"/>
  <c r="AP19" i="37"/>
  <c r="AS30" i="39" s="1"/>
  <c r="AP15" i="37"/>
  <c r="AS54" i="39" s="1"/>
  <c r="AP11" i="37"/>
  <c r="AS58" i="39" s="1"/>
  <c r="AM24" i="37"/>
  <c r="AP50" i="39" s="1"/>
  <c r="AN72" i="37"/>
  <c r="AQ29" i="39" s="1"/>
  <c r="AN68" i="37"/>
  <c r="AQ33" i="39" s="1"/>
  <c r="AN64" i="37"/>
  <c r="AQ15" i="39" s="1"/>
  <c r="AN60" i="37"/>
  <c r="AQ4" i="39" s="1"/>
  <c r="AN56" i="37"/>
  <c r="AQ43" i="39" s="1"/>
  <c r="AN52" i="37"/>
  <c r="AQ47" i="39" s="1"/>
  <c r="AN44" i="37"/>
  <c r="AQ32" i="39" s="1"/>
  <c r="AN40" i="37"/>
  <c r="AQ59" i="39" s="1"/>
  <c r="AN36" i="37"/>
  <c r="AQ7" i="39" s="1"/>
  <c r="AN32" i="37"/>
  <c r="AQ34" i="39" s="1"/>
  <c r="AN28" i="37"/>
  <c r="AQ28" i="39" s="1"/>
  <c r="AN24" i="37"/>
  <c r="AQ50" i="39" s="1"/>
  <c r="AN20" i="37"/>
  <c r="AQ10" i="39" s="1"/>
  <c r="AN16" i="37"/>
  <c r="AQ11" i="39" s="1"/>
  <c r="AN12" i="37"/>
  <c r="AQ25" i="39" s="1"/>
  <c r="AO8" i="37"/>
  <c r="AR23" i="39" s="1"/>
  <c r="AO71" i="37"/>
  <c r="AR18" i="39" s="1"/>
  <c r="AO67" i="37"/>
  <c r="AR46" i="39" s="1"/>
  <c r="AO63" i="37"/>
  <c r="AR45" i="39" s="1"/>
  <c r="AO59" i="37"/>
  <c r="AR60" i="39" s="1"/>
  <c r="AO55" i="37"/>
  <c r="AR17" i="39" s="1"/>
  <c r="AO51" i="37"/>
  <c r="AR3" i="39" s="1"/>
  <c r="AO47" i="37"/>
  <c r="AR52" i="39" s="1"/>
  <c r="AO43" i="37"/>
  <c r="AR40" i="39" s="1"/>
  <c r="AO39" i="37"/>
  <c r="AR44" i="39" s="1"/>
  <c r="AO31" i="37"/>
  <c r="AR56" i="39" s="1"/>
  <c r="AO23" i="37"/>
  <c r="AR27" i="39" s="1"/>
  <c r="AO19" i="37"/>
  <c r="AR30" i="39" s="1"/>
  <c r="AO15" i="37"/>
  <c r="AR54" i="39" s="1"/>
  <c r="AO11" i="37"/>
  <c r="AR58" i="39" s="1"/>
  <c r="AP74" i="37"/>
  <c r="AS22" i="39" s="1"/>
  <c r="AP70" i="37"/>
  <c r="AS51" i="39" s="1"/>
  <c r="AP66" i="37"/>
  <c r="AS53" i="39" s="1"/>
  <c r="AP62" i="37"/>
  <c r="AS48" i="39" s="1"/>
  <c r="AP58" i="37"/>
  <c r="AS24" i="39" s="1"/>
  <c r="AP54" i="37"/>
  <c r="AS26" i="39" s="1"/>
  <c r="AP50" i="37"/>
  <c r="AS5" i="39" s="1"/>
  <c r="AP46" i="37"/>
  <c r="AS35" i="39" s="1"/>
  <c r="AP42" i="37"/>
  <c r="AS38" i="39" s="1"/>
  <c r="AP38" i="37"/>
  <c r="AS57" i="39" s="1"/>
  <c r="AP34" i="37"/>
  <c r="AS36" i="39" s="1"/>
  <c r="AP26" i="37"/>
  <c r="AS39" i="39" s="1"/>
  <c r="AP22" i="37"/>
  <c r="AS42" i="39" s="1"/>
  <c r="AP18" i="37"/>
  <c r="AS31" i="39" s="1"/>
  <c r="AP14" i="37"/>
  <c r="AS41" i="39" s="1"/>
  <c r="AP10" i="37"/>
  <c r="AS12" i="39" s="1"/>
  <c r="AM72" i="37"/>
  <c r="AP29" i="39" s="1"/>
  <c r="AN8" i="37"/>
  <c r="AQ23" i="39" s="1"/>
  <c r="AN71" i="37"/>
  <c r="AQ18" i="39" s="1"/>
  <c r="AN67" i="37"/>
  <c r="AQ46" i="39" s="1"/>
  <c r="AN63" i="37"/>
  <c r="AQ45" i="39" s="1"/>
  <c r="AN59" i="37"/>
  <c r="AQ60" i="39" s="1"/>
  <c r="AN55" i="37"/>
  <c r="AQ17" i="39" s="1"/>
  <c r="AN51" i="37"/>
  <c r="AQ3" i="39" s="1"/>
  <c r="AN47" i="37"/>
  <c r="AQ52" i="39" s="1"/>
  <c r="AN43" i="37"/>
  <c r="AQ40" i="39" s="1"/>
  <c r="AN39" i="37"/>
  <c r="AQ44" i="39" s="1"/>
  <c r="AN31" i="37"/>
  <c r="AQ56" i="39" s="1"/>
  <c r="AN23" i="37"/>
  <c r="AQ27" i="39" s="1"/>
  <c r="AN19" i="37"/>
  <c r="AQ30" i="39" s="1"/>
  <c r="AN15" i="37"/>
  <c r="AQ54" i="39" s="1"/>
  <c r="AN11" i="37"/>
  <c r="AQ58" i="39" s="1"/>
  <c r="AO74" i="37"/>
  <c r="AR22" i="39" s="1"/>
  <c r="AO70" i="37"/>
  <c r="AR51" i="39" s="1"/>
  <c r="AO66" i="37"/>
  <c r="AR53" i="39" s="1"/>
  <c r="AO62" i="37"/>
  <c r="AR48" i="39" s="1"/>
  <c r="AO58" i="37"/>
  <c r="AR24" i="39" s="1"/>
  <c r="AO54" i="37"/>
  <c r="AR26" i="39" s="1"/>
  <c r="AO50" i="37"/>
  <c r="AR5" i="39" s="1"/>
  <c r="AO46" i="37"/>
  <c r="AR35" i="39" s="1"/>
  <c r="AO42" i="37"/>
  <c r="AR38" i="39" s="1"/>
  <c r="AO38" i="37"/>
  <c r="AR57" i="39" s="1"/>
  <c r="AO34" i="37"/>
  <c r="AR36" i="39" s="1"/>
  <c r="AO26" i="37"/>
  <c r="AR39" i="39" s="1"/>
  <c r="AO22" i="37"/>
  <c r="AR42" i="39" s="1"/>
  <c r="AO18" i="37"/>
  <c r="AR31" i="39" s="1"/>
  <c r="AO14" i="37"/>
  <c r="AR41" i="39" s="1"/>
  <c r="AO10" i="37"/>
  <c r="AR12" i="39" s="1"/>
  <c r="AP73" i="37"/>
  <c r="AS19" i="39" s="1"/>
  <c r="AP69" i="37"/>
  <c r="AS16" i="39" s="1"/>
  <c r="AP65" i="37"/>
  <c r="AS55" i="39" s="1"/>
  <c r="AP57" i="37"/>
  <c r="AS20" i="39" s="1"/>
  <c r="AP53" i="37"/>
  <c r="AS9" i="39" s="1"/>
  <c r="AP49" i="37"/>
  <c r="AP45" i="37"/>
  <c r="AS14" i="39" s="1"/>
  <c r="AP41" i="37"/>
  <c r="AS2" i="39" s="1"/>
  <c r="AP37" i="37"/>
  <c r="AS6" i="39" s="1"/>
  <c r="AP33" i="37"/>
  <c r="AS49" i="39" s="1"/>
  <c r="AP29" i="37"/>
  <c r="AS21" i="39" s="1"/>
  <c r="AP25" i="37"/>
  <c r="AS37" i="39" s="1"/>
  <c r="AP21" i="37"/>
  <c r="AS13" i="39" s="1"/>
  <c r="AP17" i="37"/>
  <c r="AP13" i="37"/>
  <c r="AS8" i="39" s="1"/>
  <c r="AM68" i="37"/>
  <c r="AP33" i="39" s="1"/>
  <c r="AM52" i="37"/>
  <c r="AP47" i="39" s="1"/>
  <c r="AM36" i="37"/>
  <c r="AP7" i="39" s="1"/>
  <c r="AM20" i="37"/>
  <c r="AP10" i="39" s="1"/>
  <c r="AM64" i="37"/>
  <c r="AP15" i="39" s="1"/>
  <c r="AM32" i="37"/>
  <c r="AP34" i="39" s="1"/>
  <c r="AM16" i="37"/>
  <c r="AP11" i="39" s="1"/>
  <c r="AM60" i="37"/>
  <c r="AP4" i="39" s="1"/>
  <c r="AM44" i="37"/>
  <c r="AP32" i="39" s="1"/>
  <c r="AM28" i="37"/>
  <c r="AP28" i="39" s="1"/>
  <c r="AM12" i="37"/>
  <c r="AP25" i="39" s="1"/>
  <c r="AM71" i="37"/>
  <c r="AP18" i="39" s="1"/>
  <c r="AM67" i="37"/>
  <c r="AP46" i="39" s="1"/>
  <c r="AM63" i="37"/>
  <c r="AP45" i="39" s="1"/>
  <c r="AM59" i="37"/>
  <c r="AP60" i="39" s="1"/>
  <c r="AM55" i="37"/>
  <c r="AP17" i="39" s="1"/>
  <c r="AM51" i="37"/>
  <c r="AP3" i="39" s="1"/>
  <c r="AM47" i="37"/>
  <c r="AP52" i="39" s="1"/>
  <c r="AM43" i="37"/>
  <c r="AP40" i="39" s="1"/>
  <c r="AM39" i="37"/>
  <c r="AP44" i="39" s="1"/>
  <c r="AM31" i="37"/>
  <c r="AP56" i="39" s="1"/>
  <c r="AM23" i="37"/>
  <c r="AP27" i="39" s="1"/>
  <c r="AM19" i="37"/>
  <c r="AP30" i="39" s="1"/>
  <c r="AM15" i="37"/>
  <c r="AP54" i="39" s="1"/>
  <c r="AM11" i="37"/>
  <c r="AP58" i="39" s="1"/>
  <c r="AM74" i="37"/>
  <c r="AP22" i="39" s="1"/>
  <c r="AM70" i="37"/>
  <c r="AP51" i="39" s="1"/>
  <c r="AM66" i="37"/>
  <c r="AP53" i="39" s="1"/>
  <c r="AM62" i="37"/>
  <c r="AP48" i="39" s="1"/>
  <c r="AM58" i="37"/>
  <c r="AP24" i="39" s="1"/>
  <c r="AM54" i="37"/>
  <c r="AP26" i="39" s="1"/>
  <c r="AM50" i="37"/>
  <c r="AP5" i="39" s="1"/>
  <c r="AM46" i="37"/>
  <c r="AP35" i="39" s="1"/>
  <c r="AM42" i="37"/>
  <c r="AP38" i="39" s="1"/>
  <c r="AM38" i="37"/>
  <c r="AP57" i="39" s="1"/>
  <c r="AM34" i="37"/>
  <c r="AP36" i="39" s="1"/>
  <c r="AM26" i="37"/>
  <c r="AP39" i="39" s="1"/>
  <c r="AM22" i="37"/>
  <c r="AP42" i="39" s="1"/>
  <c r="AM18" i="37"/>
  <c r="AP31" i="39" s="1"/>
  <c r="AM14" i="37"/>
  <c r="AP41" i="39" s="1"/>
  <c r="AM10" i="37"/>
  <c r="AP12" i="39" s="1"/>
  <c r="AM73" i="37"/>
  <c r="AP19" i="39" s="1"/>
  <c r="AM69" i="37"/>
  <c r="AP16" i="39" s="1"/>
  <c r="AM65" i="37"/>
  <c r="AP55" i="39" s="1"/>
  <c r="AM57" i="37"/>
  <c r="AP20" i="39" s="1"/>
  <c r="AM53" i="37"/>
  <c r="AP9" i="39" s="1"/>
  <c r="AM49" i="37"/>
  <c r="AM45" i="37"/>
  <c r="AP14" i="39" s="1"/>
  <c r="AM41" i="37"/>
  <c r="AP2" i="39" s="1"/>
  <c r="AM37" i="37"/>
  <c r="AP6" i="39" s="1"/>
  <c r="AM33" i="37"/>
  <c r="AP49" i="39" s="1"/>
  <c r="AM29" i="37"/>
  <c r="AP21" i="39" s="1"/>
  <c r="AM25" i="37"/>
  <c r="AP37" i="39" s="1"/>
  <c r="AM21" i="37"/>
  <c r="AP13" i="39" s="1"/>
  <c r="AM17" i="37"/>
  <c r="AM13" i="37"/>
  <c r="AP8" i="39" s="1"/>
  <c r="D53" i="39"/>
  <c r="G53" i="39"/>
  <c r="F53" i="39"/>
  <c r="V27" i="38"/>
  <c r="V22" i="38"/>
  <c r="V26" i="38"/>
  <c r="V57" i="38"/>
  <c r="V53" i="38"/>
  <c r="V48" i="38"/>
  <c r="V18" i="38"/>
  <c r="V24" i="38"/>
  <c r="V8" i="38"/>
  <c r="V10" i="38"/>
  <c r="V33" i="38"/>
  <c r="V5" i="38"/>
  <c r="V2" i="38"/>
  <c r="V49" i="38"/>
  <c r="V40" i="38"/>
  <c r="V14" i="38"/>
  <c r="V41" i="38"/>
  <c r="V4" i="38"/>
  <c r="V15" i="38"/>
  <c r="V21" i="38"/>
  <c r="V34" i="38"/>
  <c r="V20" i="38"/>
  <c r="V56" i="38"/>
  <c r="V67" i="38"/>
  <c r="V43" i="38"/>
  <c r="V55" i="38"/>
  <c r="V60" i="38"/>
  <c r="V31" i="38"/>
  <c r="V23" i="38"/>
  <c r="V51" i="38"/>
  <c r="V52" i="38"/>
  <c r="V19" i="38"/>
  <c r="V63" i="38"/>
  <c r="V36" i="38"/>
  <c r="V47" i="38"/>
  <c r="V29" i="38"/>
  <c r="V17" i="38"/>
  <c r="V7" i="38"/>
  <c r="V42" i="38"/>
  <c r="V6" i="38"/>
  <c r="V64" i="38"/>
  <c r="V46" i="38"/>
  <c r="V50" i="38"/>
  <c r="V12" i="38"/>
  <c r="V11" i="38"/>
  <c r="V13" i="38"/>
  <c r="V66" i="38"/>
  <c r="V65" i="38"/>
  <c r="V59" i="38"/>
  <c r="V69" i="38"/>
  <c r="V9" i="38"/>
  <c r="V28" i="38"/>
  <c r="V38" i="38"/>
  <c r="V54" i="38"/>
  <c r="V37" i="38"/>
  <c r="V35" i="38"/>
  <c r="V68" i="38"/>
  <c r="V32" i="38"/>
  <c r="V39" i="38"/>
  <c r="V62" i="38"/>
  <c r="V16" i="38"/>
  <c r="V61" i="38"/>
  <c r="V70" i="38"/>
  <c r="V58" i="38"/>
  <c r="V3" i="38"/>
  <c r="V25" i="38"/>
  <c r="V44" i="38"/>
  <c r="V45" i="38"/>
  <c r="V30" i="38"/>
  <c r="U27" i="38"/>
  <c r="U22" i="38"/>
  <c r="U26" i="38"/>
  <c r="U57" i="38"/>
  <c r="U53" i="38"/>
  <c r="U48" i="38"/>
  <c r="U18" i="38"/>
  <c r="U24" i="38"/>
  <c r="U8" i="38"/>
  <c r="U10" i="38"/>
  <c r="U33" i="38"/>
  <c r="U5" i="38"/>
  <c r="U2" i="38"/>
  <c r="U49" i="38"/>
  <c r="U40" i="38"/>
  <c r="U14" i="38"/>
  <c r="U41" i="38"/>
  <c r="U4" i="38"/>
  <c r="U15" i="38"/>
  <c r="U21" i="38"/>
  <c r="U34" i="38"/>
  <c r="U20" i="38"/>
  <c r="U56" i="38"/>
  <c r="U67" i="38"/>
  <c r="U43" i="38"/>
  <c r="U55" i="38"/>
  <c r="U60" i="38"/>
  <c r="U31" i="38"/>
  <c r="U23" i="38"/>
  <c r="U51" i="38"/>
  <c r="U52" i="38"/>
  <c r="U19" i="38"/>
  <c r="U63" i="38"/>
  <c r="U36" i="38"/>
  <c r="U47" i="38"/>
  <c r="U29" i="38"/>
  <c r="U17" i="38"/>
  <c r="U7" i="38"/>
  <c r="U42" i="38"/>
  <c r="U6" i="38"/>
  <c r="U64" i="38"/>
  <c r="U46" i="38"/>
  <c r="U50" i="38"/>
  <c r="U12" i="38"/>
  <c r="U11" i="38"/>
  <c r="U13" i="38"/>
  <c r="U66" i="38"/>
  <c r="U65" i="38"/>
  <c r="U59" i="38"/>
  <c r="U69" i="38"/>
  <c r="U9" i="38"/>
  <c r="U28" i="38"/>
  <c r="U38" i="38"/>
  <c r="U54" i="38"/>
  <c r="U37" i="38"/>
  <c r="U35" i="38"/>
  <c r="U68" i="38"/>
  <c r="U32" i="38"/>
  <c r="U39" i="38"/>
  <c r="U62" i="38"/>
  <c r="U16" i="38"/>
  <c r="U61" i="38"/>
  <c r="U70" i="38"/>
  <c r="U58" i="38"/>
  <c r="U3" i="38"/>
  <c r="U25" i="38"/>
  <c r="U44" i="38"/>
  <c r="U45" i="38"/>
  <c r="U30" i="38"/>
  <c r="AJ9" i="37"/>
  <c r="AJ10" i="37"/>
  <c r="AJ11" i="37"/>
  <c r="AJ12" i="37"/>
  <c r="AJ13" i="37"/>
  <c r="AJ14" i="37"/>
  <c r="AJ15" i="37"/>
  <c r="AJ16" i="37"/>
  <c r="AJ17" i="37"/>
  <c r="AJ18" i="37"/>
  <c r="AJ19" i="37"/>
  <c r="AJ20" i="37"/>
  <c r="AJ21" i="37"/>
  <c r="AJ22" i="37"/>
  <c r="AJ23" i="37"/>
  <c r="AJ24" i="37"/>
  <c r="AJ25" i="37"/>
  <c r="AJ26" i="37"/>
  <c r="AJ28" i="37"/>
  <c r="AJ29" i="37"/>
  <c r="AJ31" i="37"/>
  <c r="AJ32" i="37"/>
  <c r="AJ33" i="37"/>
  <c r="AJ34" i="37"/>
  <c r="AJ36" i="37"/>
  <c r="AJ37" i="37"/>
  <c r="AJ38" i="37"/>
  <c r="AJ39" i="37"/>
  <c r="AJ40" i="37"/>
  <c r="AJ41" i="37"/>
  <c r="AJ42" i="37"/>
  <c r="AJ43" i="37"/>
  <c r="AJ44" i="37"/>
  <c r="AJ45" i="37"/>
  <c r="AJ46" i="37"/>
  <c r="AJ47" i="37"/>
  <c r="AJ49" i="37"/>
  <c r="AJ50" i="37"/>
  <c r="AJ51" i="37"/>
  <c r="AJ52" i="37"/>
  <c r="AJ53" i="37"/>
  <c r="AJ54" i="37"/>
  <c r="AJ55" i="37"/>
  <c r="AJ56" i="37"/>
  <c r="AJ57" i="37"/>
  <c r="AJ58" i="37"/>
  <c r="AJ59" i="37"/>
  <c r="AJ60" i="37"/>
  <c r="AJ62" i="37"/>
  <c r="AJ63" i="37"/>
  <c r="AJ64" i="37"/>
  <c r="AJ65" i="37"/>
  <c r="AJ66" i="37"/>
  <c r="AJ67" i="37"/>
  <c r="AJ68" i="37"/>
  <c r="AJ69" i="37"/>
  <c r="AJ70" i="37"/>
  <c r="AJ71" i="37"/>
  <c r="AJ72" i="37"/>
  <c r="AJ73" i="37"/>
  <c r="AJ74" i="37"/>
  <c r="AJ8" i="37"/>
  <c r="AI9" i="37"/>
  <c r="AI10" i="37"/>
  <c r="AI11" i="37"/>
  <c r="AI12" i="37"/>
  <c r="AI13" i="37"/>
  <c r="AI14" i="37"/>
  <c r="AI15" i="37"/>
  <c r="AI16" i="37"/>
  <c r="AI17" i="37"/>
  <c r="AI18" i="37"/>
  <c r="AI19" i="37"/>
  <c r="AI20" i="37"/>
  <c r="AI21" i="37"/>
  <c r="AI22" i="37"/>
  <c r="AI23" i="37"/>
  <c r="AI24" i="37"/>
  <c r="AI25" i="37"/>
  <c r="AI26" i="37"/>
  <c r="AI28" i="37"/>
  <c r="AI29" i="37"/>
  <c r="AI31" i="37"/>
  <c r="AI32" i="37"/>
  <c r="AI33" i="37"/>
  <c r="AI34" i="37"/>
  <c r="AI36" i="37"/>
  <c r="AI37" i="37"/>
  <c r="AI38" i="37"/>
  <c r="AI39" i="37"/>
  <c r="AI40" i="37"/>
  <c r="AI41" i="37"/>
  <c r="AI42" i="37"/>
  <c r="AI43" i="37"/>
  <c r="AI44" i="37"/>
  <c r="AI45" i="37"/>
  <c r="AI46" i="37"/>
  <c r="AI47" i="37"/>
  <c r="AI49" i="37"/>
  <c r="AI50" i="37"/>
  <c r="AI51" i="37"/>
  <c r="AI52" i="37"/>
  <c r="AI53" i="37"/>
  <c r="AI54" i="37"/>
  <c r="AI55" i="37"/>
  <c r="AI56" i="37"/>
  <c r="AI57" i="37"/>
  <c r="AI58" i="37"/>
  <c r="AI59" i="37"/>
  <c r="AI60" i="37"/>
  <c r="AI62" i="37"/>
  <c r="AI63" i="37"/>
  <c r="AI64" i="37"/>
  <c r="AI65" i="37"/>
  <c r="AI66" i="37"/>
  <c r="AI67" i="37"/>
  <c r="AI68" i="37"/>
  <c r="AI69" i="37"/>
  <c r="AI70" i="37"/>
  <c r="AI71" i="37"/>
  <c r="AI72" i="37"/>
  <c r="AI73" i="37"/>
  <c r="AI74" i="37"/>
  <c r="AI8" i="37"/>
  <c r="AT2" i="39" l="1"/>
  <c r="AR8" i="39"/>
  <c r="AV2" i="39"/>
  <c r="AQ8" i="39"/>
  <c r="AW2" i="39"/>
  <c r="O4" i="12"/>
  <c r="P55" i="38" l="1"/>
  <c r="P9" i="38"/>
  <c r="P26" i="38"/>
  <c r="P53" i="38"/>
  <c r="P64" i="38"/>
  <c r="P3" i="38"/>
  <c r="P25" i="38"/>
  <c r="P7" i="38"/>
  <c r="P28" i="38"/>
  <c r="P48" i="38"/>
  <c r="P4" i="38"/>
  <c r="P70" i="38"/>
  <c r="P15" i="38"/>
  <c r="P16" i="38"/>
  <c r="P46" i="38"/>
  <c r="P24" i="38"/>
  <c r="P2" i="38"/>
  <c r="P8" i="38"/>
  <c r="P51" i="38"/>
  <c r="P47" i="38"/>
  <c r="P60" i="38"/>
  <c r="P49" i="38"/>
  <c r="P18" i="38"/>
  <c r="P54" i="38"/>
  <c r="P59" i="38"/>
  <c r="P10" i="38"/>
  <c r="P21" i="38"/>
  <c r="P67" i="38"/>
  <c r="P63" i="38"/>
  <c r="P37" i="38"/>
  <c r="P41" i="38"/>
  <c r="P56" i="38"/>
  <c r="P39" i="38"/>
  <c r="P40" i="38"/>
  <c r="P11" i="38"/>
  <c r="P27" i="38"/>
  <c r="P44" i="38"/>
  <c r="P23" i="38"/>
  <c r="P62" i="38"/>
  <c r="P58" i="38"/>
  <c r="P45" i="38"/>
  <c r="P29" i="38"/>
  <c r="P17" i="38"/>
  <c r="P65" i="38"/>
  <c r="P43" i="38"/>
  <c r="P52" i="38"/>
  <c r="P38" i="38"/>
  <c r="P13" i="38"/>
  <c r="P19" i="38"/>
  <c r="P57" i="38"/>
  <c r="P66" i="38"/>
  <c r="P68" i="38"/>
  <c r="P12" i="38"/>
  <c r="P69" i="38"/>
  <c r="P42" i="38"/>
  <c r="P22" i="38"/>
  <c r="P14" i="38"/>
  <c r="P50" i="38"/>
  <c r="P20" i="38"/>
  <c r="P61" i="38"/>
  <c r="P32" i="38"/>
  <c r="P33" i="38"/>
  <c r="P34" i="38"/>
  <c r="P31" i="38"/>
  <c r="P35" i="38"/>
  <c r="P36" i="38"/>
  <c r="P30" i="38"/>
  <c r="P5" i="38"/>
  <c r="P6" i="38"/>
  <c r="O55" i="38"/>
  <c r="O9" i="38"/>
  <c r="O26" i="38"/>
  <c r="O53" i="38"/>
  <c r="O64" i="38"/>
  <c r="O3" i="38"/>
  <c r="O25" i="38"/>
  <c r="O7" i="38"/>
  <c r="O28" i="38"/>
  <c r="O48" i="38"/>
  <c r="O4" i="38"/>
  <c r="O70" i="38"/>
  <c r="O15" i="38"/>
  <c r="O16" i="38"/>
  <c r="O46" i="38"/>
  <c r="O24" i="38"/>
  <c r="O2" i="38"/>
  <c r="O8" i="38"/>
  <c r="O51" i="38"/>
  <c r="O47" i="38"/>
  <c r="O60" i="38"/>
  <c r="O49" i="38"/>
  <c r="O18" i="38"/>
  <c r="O54" i="38"/>
  <c r="O59" i="38"/>
  <c r="O10" i="38"/>
  <c r="O21" i="38"/>
  <c r="O67" i="38"/>
  <c r="O63" i="38"/>
  <c r="O37" i="38"/>
  <c r="O41" i="38"/>
  <c r="O56" i="38"/>
  <c r="O39" i="38"/>
  <c r="O40" i="38"/>
  <c r="O11" i="38"/>
  <c r="O27" i="38"/>
  <c r="O44" i="38"/>
  <c r="O23" i="38"/>
  <c r="O62" i="38"/>
  <c r="O58" i="38"/>
  <c r="O45" i="38"/>
  <c r="O29" i="38"/>
  <c r="O17" i="38"/>
  <c r="O65" i="38"/>
  <c r="O43" i="38"/>
  <c r="O52" i="38"/>
  <c r="O38" i="38"/>
  <c r="O13" i="38"/>
  <c r="O19" i="38"/>
  <c r="O57" i="38"/>
  <c r="O66" i="38"/>
  <c r="O68" i="38"/>
  <c r="O12" i="38"/>
  <c r="O69" i="38"/>
  <c r="O42" i="38"/>
  <c r="O22" i="38"/>
  <c r="O14" i="38"/>
  <c r="O50" i="38"/>
  <c r="O20" i="38"/>
  <c r="O61" i="38"/>
  <c r="O32" i="38"/>
  <c r="O33" i="38"/>
  <c r="O34" i="38"/>
  <c r="O31" i="38"/>
  <c r="O35" i="38"/>
  <c r="O36" i="38"/>
  <c r="O30" i="38"/>
  <c r="O5" i="38"/>
  <c r="O6" i="38"/>
  <c r="K55" i="38" l="1"/>
  <c r="K9" i="38"/>
  <c r="K26" i="38"/>
  <c r="K53" i="38"/>
  <c r="K64" i="38"/>
  <c r="K3" i="38"/>
  <c r="K25" i="38"/>
  <c r="K7" i="38"/>
  <c r="K28" i="38"/>
  <c r="K48" i="38"/>
  <c r="K4" i="38"/>
  <c r="K70" i="38"/>
  <c r="K15" i="38"/>
  <c r="K16" i="38"/>
  <c r="K46" i="38"/>
  <c r="K24" i="38"/>
  <c r="K2" i="38"/>
  <c r="K8" i="38"/>
  <c r="K51" i="38"/>
  <c r="K47" i="38"/>
  <c r="K60" i="38"/>
  <c r="K49" i="38"/>
  <c r="K18" i="38"/>
  <c r="K54" i="38"/>
  <c r="K59" i="38"/>
  <c r="K10" i="38"/>
  <c r="K21" i="38"/>
  <c r="K67" i="38"/>
  <c r="K63" i="38"/>
  <c r="K37" i="38"/>
  <c r="K41" i="38"/>
  <c r="K56" i="38"/>
  <c r="K39" i="38"/>
  <c r="K40" i="38"/>
  <c r="K11" i="38"/>
  <c r="K27" i="38"/>
  <c r="K44" i="38"/>
  <c r="K23" i="38"/>
  <c r="K62" i="38"/>
  <c r="K58" i="38"/>
  <c r="K45" i="38"/>
  <c r="K29" i="38"/>
  <c r="K17" i="38"/>
  <c r="K65" i="38"/>
  <c r="K43" i="38"/>
  <c r="K52" i="38"/>
  <c r="K38" i="38"/>
  <c r="K13" i="38"/>
  <c r="K19" i="38"/>
  <c r="K57" i="38"/>
  <c r="K66" i="38"/>
  <c r="K68" i="38"/>
  <c r="K12" i="38"/>
  <c r="K69" i="38"/>
  <c r="K42" i="38"/>
  <c r="K22" i="38"/>
  <c r="K14" i="38"/>
  <c r="K50" i="38"/>
  <c r="K20" i="38"/>
  <c r="K61" i="38"/>
  <c r="K32" i="38"/>
  <c r="K33" i="38"/>
  <c r="K34" i="38"/>
  <c r="K31" i="38"/>
  <c r="K35" i="38"/>
  <c r="K36" i="38"/>
  <c r="K30" i="38"/>
  <c r="K5" i="38"/>
  <c r="K6" i="38"/>
  <c r="AD59" i="37" l="1"/>
  <c r="AD15" i="37"/>
  <c r="AD32" i="37"/>
  <c r="AD57" i="37"/>
  <c r="AD68" i="37"/>
  <c r="AD13" i="37"/>
  <c r="AD33" i="37"/>
  <c r="AD52" i="37"/>
  <c r="AD10" i="37"/>
  <c r="AD74" i="37"/>
  <c r="AD21" i="37"/>
  <c r="AD22" i="37"/>
  <c r="AD50" i="37"/>
  <c r="AD31" i="37"/>
  <c r="AD8" i="37"/>
  <c r="AD14" i="37"/>
  <c r="AD55" i="37"/>
  <c r="AD51" i="37"/>
  <c r="AD64" i="37"/>
  <c r="AD53" i="37"/>
  <c r="AD24" i="37"/>
  <c r="AD58" i="37"/>
  <c r="AD63" i="37"/>
  <c r="AD16" i="37"/>
  <c r="AD71" i="37"/>
  <c r="AD67" i="37"/>
  <c r="AD41" i="37"/>
  <c r="AD45" i="37"/>
  <c r="AD60" i="37"/>
  <c r="AD43" i="37"/>
  <c r="AD44" i="37"/>
  <c r="AD29" i="37"/>
  <c r="AD66" i="37"/>
  <c r="AD49" i="37"/>
  <c r="AD34" i="37"/>
  <c r="AD23" i="37"/>
  <c r="AD69" i="37"/>
  <c r="AD47" i="37"/>
  <c r="AD56" i="37"/>
  <c r="AD42" i="37"/>
  <c r="AD19" i="37"/>
  <c r="AD25" i="37"/>
  <c r="AD62" i="37"/>
  <c r="AD70" i="37"/>
  <c r="AD72" i="37"/>
  <c r="AD18" i="37"/>
  <c r="AD73" i="37"/>
  <c r="AD46" i="37"/>
  <c r="AD28" i="37"/>
  <c r="AD20" i="37"/>
  <c r="AD54" i="37"/>
  <c r="AD26" i="37"/>
  <c r="AD65" i="37"/>
  <c r="AD36" i="37"/>
  <c r="AD37" i="37"/>
  <c r="AD38" i="37"/>
  <c r="AD39" i="37"/>
  <c r="AD40" i="37"/>
  <c r="AD11" i="37"/>
  <c r="AD12" i="37"/>
  <c r="AC59" i="37"/>
  <c r="AC15" i="37"/>
  <c r="AC32" i="37"/>
  <c r="AC57" i="37"/>
  <c r="AC68" i="37"/>
  <c r="AC13" i="37"/>
  <c r="AC33" i="37"/>
  <c r="AC52" i="37"/>
  <c r="AC10" i="37"/>
  <c r="AC74" i="37"/>
  <c r="AC21" i="37"/>
  <c r="AC22" i="37"/>
  <c r="AC50" i="37"/>
  <c r="AC31" i="37"/>
  <c r="AC8" i="37"/>
  <c r="AC14" i="37"/>
  <c r="AC55" i="37"/>
  <c r="AC51" i="37"/>
  <c r="AC64" i="37"/>
  <c r="AC53" i="37"/>
  <c r="AC24" i="37"/>
  <c r="AC58" i="37"/>
  <c r="AC63" i="37"/>
  <c r="AC16" i="37"/>
  <c r="AC71" i="37"/>
  <c r="AC67" i="37"/>
  <c r="AC41" i="37"/>
  <c r="AC45" i="37"/>
  <c r="AC60" i="37"/>
  <c r="AC43" i="37"/>
  <c r="AC44" i="37"/>
  <c r="AC29" i="37"/>
  <c r="AC66" i="37"/>
  <c r="AC49" i="37"/>
  <c r="AC34" i="37"/>
  <c r="AC23" i="37"/>
  <c r="AC69" i="37"/>
  <c r="AC47" i="37"/>
  <c r="AC56" i="37"/>
  <c r="AC42" i="37"/>
  <c r="AC19" i="37"/>
  <c r="AC25" i="37"/>
  <c r="AC62" i="37"/>
  <c r="AC70" i="37"/>
  <c r="AC72" i="37"/>
  <c r="AC18" i="37"/>
  <c r="AC73" i="37"/>
  <c r="AC46" i="37"/>
  <c r="AC28" i="37"/>
  <c r="AC20" i="37"/>
  <c r="AC54" i="37"/>
  <c r="AC26" i="37"/>
  <c r="AC65" i="37"/>
  <c r="AC36" i="37"/>
  <c r="AC37" i="37"/>
  <c r="AC38" i="37"/>
  <c r="AC39" i="37"/>
  <c r="AC40" i="37"/>
  <c r="AC11" i="37"/>
  <c r="AC12" i="37"/>
  <c r="W59" i="37" l="1"/>
  <c r="W15" i="37"/>
  <c r="W32" i="37"/>
  <c r="W57" i="37"/>
  <c r="W68" i="37"/>
  <c r="W9" i="37"/>
  <c r="W61" i="37"/>
  <c r="W13" i="37"/>
  <c r="W33" i="37"/>
  <c r="W52" i="37"/>
  <c r="W30" i="37"/>
  <c r="W10" i="37"/>
  <c r="W74" i="37"/>
  <c r="W21" i="37"/>
  <c r="W22" i="37"/>
  <c r="W50" i="37"/>
  <c r="W31" i="37"/>
  <c r="W8" i="37"/>
  <c r="W14" i="37"/>
  <c r="W55" i="37"/>
  <c r="W51" i="37"/>
  <c r="W64" i="37"/>
  <c r="W53" i="37"/>
  <c r="W24" i="37"/>
  <c r="W58" i="37"/>
  <c r="W63" i="37"/>
  <c r="W16" i="37"/>
  <c r="W27" i="37"/>
  <c r="W71" i="37"/>
  <c r="W67" i="37"/>
  <c r="W41" i="37"/>
  <c r="W45" i="37"/>
  <c r="W60" i="37"/>
  <c r="W43" i="37"/>
  <c r="W44" i="37"/>
  <c r="W17" i="37"/>
  <c r="W48" i="37"/>
  <c r="W29" i="37"/>
  <c r="W66" i="37"/>
  <c r="W49" i="37"/>
  <c r="W34" i="37"/>
  <c r="W23" i="37"/>
  <c r="W69" i="37"/>
  <c r="W47" i="37"/>
  <c r="W56" i="37"/>
  <c r="W42" i="37"/>
  <c r="W19" i="37"/>
  <c r="W25" i="37"/>
  <c r="W62" i="37"/>
  <c r="W70" i="37"/>
  <c r="W72" i="37"/>
  <c r="W18" i="37"/>
  <c r="W73" i="37"/>
  <c r="W46" i="37"/>
  <c r="W28" i="37"/>
  <c r="W20" i="37"/>
  <c r="W54" i="37"/>
  <c r="W26" i="37"/>
  <c r="W65" i="37"/>
  <c r="W36" i="37"/>
  <c r="W37" i="37"/>
  <c r="W38" i="37"/>
  <c r="W35" i="37"/>
  <c r="W39" i="37"/>
  <c r="W40" i="37"/>
  <c r="W11" i="37"/>
  <c r="V59" i="37"/>
  <c r="V15" i="37"/>
  <c r="V32" i="37"/>
  <c r="V57" i="37"/>
  <c r="V68" i="37"/>
  <c r="V9" i="37"/>
  <c r="V61" i="37"/>
  <c r="V13" i="37"/>
  <c r="V33" i="37"/>
  <c r="V52" i="37"/>
  <c r="V30" i="37"/>
  <c r="V10" i="37"/>
  <c r="V74" i="37"/>
  <c r="V21" i="37"/>
  <c r="V22" i="37"/>
  <c r="V50" i="37"/>
  <c r="V31" i="37"/>
  <c r="V8" i="37"/>
  <c r="V14" i="37"/>
  <c r="V55" i="37"/>
  <c r="V51" i="37"/>
  <c r="V64" i="37"/>
  <c r="V53" i="37"/>
  <c r="V24" i="37"/>
  <c r="V58" i="37"/>
  <c r="V63" i="37"/>
  <c r="V16" i="37"/>
  <c r="V27" i="37"/>
  <c r="V71" i="37"/>
  <c r="V67" i="37"/>
  <c r="V41" i="37"/>
  <c r="V45" i="37"/>
  <c r="V60" i="37"/>
  <c r="V43" i="37"/>
  <c r="V44" i="37"/>
  <c r="V17" i="37"/>
  <c r="V48" i="37"/>
  <c r="V29" i="37"/>
  <c r="V66" i="37"/>
  <c r="V49" i="37"/>
  <c r="V34" i="37"/>
  <c r="V23" i="37"/>
  <c r="V69" i="37"/>
  <c r="V47" i="37"/>
  <c r="V56" i="37"/>
  <c r="V42" i="37"/>
  <c r="V19" i="37"/>
  <c r="V25" i="37"/>
  <c r="V62" i="37"/>
  <c r="V70" i="37"/>
  <c r="V72" i="37"/>
  <c r="V18" i="37"/>
  <c r="V73" i="37"/>
  <c r="V46" i="37"/>
  <c r="V28" i="37"/>
  <c r="V20" i="37"/>
  <c r="V54" i="37"/>
  <c r="V26" i="37"/>
  <c r="V65" i="37"/>
  <c r="V36" i="37"/>
  <c r="V37" i="37"/>
  <c r="V38" i="37"/>
  <c r="V35" i="37"/>
  <c r="V39" i="37"/>
  <c r="V40" i="37"/>
  <c r="V11" i="37"/>
  <c r="W12" i="37"/>
  <c r="V12" i="37"/>
  <c r="O59" i="37"/>
  <c r="O15" i="37"/>
  <c r="O32" i="37"/>
  <c r="O57" i="37"/>
  <c r="O68" i="37"/>
  <c r="O9" i="37"/>
  <c r="O61" i="37"/>
  <c r="O13" i="37"/>
  <c r="O33" i="37"/>
  <c r="O52" i="37"/>
  <c r="O30" i="37"/>
  <c r="O10" i="37"/>
  <c r="O74" i="37"/>
  <c r="O21" i="37"/>
  <c r="O22" i="37"/>
  <c r="O50" i="37"/>
  <c r="O31" i="37"/>
  <c r="O8" i="37"/>
  <c r="C53" i="39" s="1"/>
  <c r="O14" i="37"/>
  <c r="O55" i="37"/>
  <c r="O51" i="37"/>
  <c r="O64" i="37"/>
  <c r="O53" i="37"/>
  <c r="O24" i="37"/>
  <c r="O58" i="37"/>
  <c r="O63" i="37"/>
  <c r="O16" i="37"/>
  <c r="O27" i="37"/>
  <c r="O71" i="37"/>
  <c r="O67" i="37"/>
  <c r="O41" i="37"/>
  <c r="O45" i="37"/>
  <c r="O60" i="37"/>
  <c r="O43" i="37"/>
  <c r="O44" i="37"/>
  <c r="O17" i="37"/>
  <c r="O48" i="37"/>
  <c r="O29" i="37"/>
  <c r="O66" i="37"/>
  <c r="O49" i="37"/>
  <c r="O34" i="37"/>
  <c r="O23" i="37"/>
  <c r="O69" i="37"/>
  <c r="O47" i="37"/>
  <c r="O56" i="37"/>
  <c r="O42" i="37"/>
  <c r="O19" i="37"/>
  <c r="O25" i="37"/>
  <c r="O62" i="37"/>
  <c r="O70" i="37"/>
  <c r="O72" i="37"/>
  <c r="O18" i="37"/>
  <c r="O73" i="37"/>
  <c r="O46" i="37"/>
  <c r="O28" i="37"/>
  <c r="O20" i="37"/>
  <c r="O54" i="37"/>
  <c r="O26" i="37"/>
  <c r="O65" i="37"/>
  <c r="O36" i="37"/>
  <c r="O37" i="37"/>
  <c r="O38" i="37"/>
  <c r="O35" i="37"/>
  <c r="O39" i="37"/>
  <c r="O40" i="37"/>
  <c r="O11" i="37"/>
  <c r="O12" i="37"/>
  <c r="I59" i="37"/>
  <c r="I15" i="37"/>
  <c r="I32" i="37"/>
  <c r="I57" i="37"/>
  <c r="I68" i="37"/>
  <c r="I9" i="37"/>
  <c r="I61" i="37"/>
  <c r="I13" i="37"/>
  <c r="I33" i="37"/>
  <c r="I52" i="37"/>
  <c r="I30" i="37"/>
  <c r="I10" i="37"/>
  <c r="I74" i="37"/>
  <c r="I21" i="37"/>
  <c r="I22" i="37"/>
  <c r="I50" i="37"/>
  <c r="I31" i="37"/>
  <c r="I8" i="37"/>
  <c r="I14" i="37"/>
  <c r="I55" i="37"/>
  <c r="I51" i="37"/>
  <c r="I64" i="37"/>
  <c r="I53" i="37"/>
  <c r="I24" i="37"/>
  <c r="I58" i="37"/>
  <c r="I63" i="37"/>
  <c r="I16" i="37"/>
  <c r="I27" i="37"/>
  <c r="I71" i="37"/>
  <c r="I67" i="37"/>
  <c r="I41" i="37"/>
  <c r="I45" i="37"/>
  <c r="I60" i="37"/>
  <c r="I43" i="37"/>
  <c r="I44" i="37"/>
  <c r="I17" i="37"/>
  <c r="I48" i="37"/>
  <c r="I29" i="37"/>
  <c r="I66" i="37"/>
  <c r="I49" i="37"/>
  <c r="I34" i="37"/>
  <c r="I23" i="37"/>
  <c r="I69" i="37"/>
  <c r="I47" i="37"/>
  <c r="I56" i="37"/>
  <c r="I42" i="37"/>
  <c r="I19" i="37"/>
  <c r="I25" i="37"/>
  <c r="I62" i="37"/>
  <c r="I70" i="37"/>
  <c r="I72" i="37"/>
  <c r="I18" i="37"/>
  <c r="I73" i="37"/>
  <c r="I46" i="37"/>
  <c r="I28" i="37"/>
  <c r="I20" i="37"/>
  <c r="I54" i="37"/>
  <c r="I26" i="37"/>
  <c r="I65" i="37"/>
  <c r="I36" i="37"/>
  <c r="I37" i="37"/>
  <c r="I38" i="37"/>
  <c r="I35" i="37"/>
  <c r="I39" i="37"/>
  <c r="I40" i="37"/>
  <c r="I11" i="37"/>
  <c r="I12" i="37"/>
  <c r="H5" i="37"/>
  <c r="H4" i="37"/>
  <c r="H3" i="37"/>
  <c r="H2" i="37"/>
  <c r="H1" i="37"/>
  <c r="G5" i="37"/>
  <c r="G4" i="37"/>
  <c r="G3" i="37"/>
  <c r="G2" i="37"/>
  <c r="G1" i="37"/>
  <c r="F5" i="37"/>
  <c r="F4" i="37"/>
  <c r="F3" i="37"/>
  <c r="F2" i="37"/>
  <c r="F1" i="37"/>
  <c r="E5" i="37"/>
  <c r="E4" i="37"/>
  <c r="E3" i="37"/>
  <c r="E2" i="37"/>
  <c r="E1" i="37"/>
  <c r="AK2" i="39" l="1"/>
  <c r="D70" i="39"/>
  <c r="D63" i="39"/>
  <c r="D57" i="39"/>
  <c r="E69" i="39"/>
  <c r="E70" i="39"/>
  <c r="D69" i="39"/>
  <c r="D66" i="39"/>
  <c r="D59" i="39"/>
  <c r="D67" i="39"/>
  <c r="E58" i="39"/>
  <c r="D58" i="39"/>
  <c r="E66" i="39"/>
  <c r="E61" i="39"/>
  <c r="E57" i="39"/>
  <c r="AJ2" i="39"/>
  <c r="D71" i="39"/>
  <c r="D65" i="39"/>
  <c r="D61" i="39"/>
  <c r="E62" i="39"/>
  <c r="E65" i="39"/>
  <c r="D62" i="39"/>
  <c r="P12" i="37"/>
  <c r="P39" i="37"/>
  <c r="P36" i="37"/>
  <c r="P54" i="37"/>
  <c r="P73" i="37"/>
  <c r="P62" i="37"/>
  <c r="P56" i="37"/>
  <c r="P34" i="37"/>
  <c r="P48" i="37"/>
  <c r="P60" i="37"/>
  <c r="P71" i="37"/>
  <c r="P58" i="37"/>
  <c r="P51" i="37"/>
  <c r="P31" i="37"/>
  <c r="P74" i="37"/>
  <c r="P33" i="37"/>
  <c r="P68" i="37"/>
  <c r="P15" i="37"/>
  <c r="Q39" i="37"/>
  <c r="Q36" i="37"/>
  <c r="Q54" i="37"/>
  <c r="Q73" i="37"/>
  <c r="Q62" i="37"/>
  <c r="Q56" i="37"/>
  <c r="Q34" i="37"/>
  <c r="Q48" i="37"/>
  <c r="Q60" i="37"/>
  <c r="Q71" i="37"/>
  <c r="Q58" i="37"/>
  <c r="Q51" i="37"/>
  <c r="Q31" i="37"/>
  <c r="Q74" i="37"/>
  <c r="Q33" i="37"/>
  <c r="Q68" i="37"/>
  <c r="Q15" i="37"/>
  <c r="R39" i="37"/>
  <c r="R36" i="37"/>
  <c r="R54" i="37"/>
  <c r="R73" i="37"/>
  <c r="R62" i="37"/>
  <c r="R56" i="37"/>
  <c r="R34" i="37"/>
  <c r="R48" i="37"/>
  <c r="R60" i="37"/>
  <c r="R71" i="37"/>
  <c r="R58" i="37"/>
  <c r="R51" i="37"/>
  <c r="R31" i="37"/>
  <c r="R74" i="37"/>
  <c r="R33" i="37"/>
  <c r="R68" i="37"/>
  <c r="R15" i="37"/>
  <c r="S39" i="37"/>
  <c r="S36" i="37"/>
  <c r="S54" i="37"/>
  <c r="S73" i="37"/>
  <c r="S62" i="37"/>
  <c r="S56" i="37"/>
  <c r="S34" i="37"/>
  <c r="S48" i="37"/>
  <c r="S60" i="37"/>
  <c r="S71" i="37"/>
  <c r="S58" i="37"/>
  <c r="S51" i="37"/>
  <c r="S31" i="37"/>
  <c r="S74" i="37"/>
  <c r="S33" i="37"/>
  <c r="S68" i="37"/>
  <c r="S15" i="37"/>
  <c r="Q12" i="37"/>
  <c r="P35" i="37"/>
  <c r="P20" i="37"/>
  <c r="P18" i="37"/>
  <c r="P25" i="37"/>
  <c r="P47" i="37"/>
  <c r="P49" i="37"/>
  <c r="P17" i="37"/>
  <c r="P45" i="37"/>
  <c r="P27" i="37"/>
  <c r="P24" i="37"/>
  <c r="P55" i="37"/>
  <c r="P50" i="37"/>
  <c r="P10" i="37"/>
  <c r="P13" i="37"/>
  <c r="P57" i="37"/>
  <c r="P59" i="37"/>
  <c r="Q35" i="37"/>
  <c r="Q20" i="37"/>
  <c r="Q18" i="37"/>
  <c r="Q25" i="37"/>
  <c r="Q47" i="37"/>
  <c r="Q49" i="37"/>
  <c r="Q17" i="37"/>
  <c r="Q45" i="37"/>
  <c r="Q27" i="37"/>
  <c r="Q24" i="37"/>
  <c r="Q55" i="37"/>
  <c r="Q50" i="37"/>
  <c r="Q10" i="37"/>
  <c r="Q13" i="37"/>
  <c r="Q57" i="37"/>
  <c r="Q59" i="37"/>
  <c r="R35" i="37"/>
  <c r="R20" i="37"/>
  <c r="R18" i="37"/>
  <c r="R25" i="37"/>
  <c r="R47" i="37"/>
  <c r="R49" i="37"/>
  <c r="R17" i="37"/>
  <c r="R45" i="37"/>
  <c r="R27" i="37"/>
  <c r="R24" i="37"/>
  <c r="R55" i="37"/>
  <c r="R50" i="37"/>
  <c r="R10" i="37"/>
  <c r="R13" i="37"/>
  <c r="R57" i="37"/>
  <c r="R59" i="37"/>
  <c r="S35" i="37"/>
  <c r="S20" i="37"/>
  <c r="S18" i="37"/>
  <c r="S25" i="37"/>
  <c r="S47" i="37"/>
  <c r="S49" i="37"/>
  <c r="S17" i="37"/>
  <c r="S45" i="37"/>
  <c r="S27" i="37"/>
  <c r="S24" i="37"/>
  <c r="S55" i="37"/>
  <c r="S50" i="37"/>
  <c r="S10" i="37"/>
  <c r="S13" i="37"/>
  <c r="S57" i="37"/>
  <c r="S59" i="37"/>
  <c r="R12" i="37"/>
  <c r="P11" i="37"/>
  <c r="P38" i="37"/>
  <c r="P65" i="37"/>
  <c r="P28" i="37"/>
  <c r="P72" i="37"/>
  <c r="P19" i="37"/>
  <c r="P69" i="37"/>
  <c r="P66" i="37"/>
  <c r="P44" i="37"/>
  <c r="P41" i="37"/>
  <c r="P16" i="37"/>
  <c r="P53" i="37"/>
  <c r="P14" i="37"/>
  <c r="P22" i="37"/>
  <c r="P30" i="37"/>
  <c r="P61" i="37"/>
  <c r="P32" i="37"/>
  <c r="Q11" i="37"/>
  <c r="Q38" i="37"/>
  <c r="Q65" i="37"/>
  <c r="Q28" i="37"/>
  <c r="Q72" i="37"/>
  <c r="Q19" i="37"/>
  <c r="Q69" i="37"/>
  <c r="Q66" i="37"/>
  <c r="Q44" i="37"/>
  <c r="Q41" i="37"/>
  <c r="Q16" i="37"/>
  <c r="Q53" i="37"/>
  <c r="Q14" i="37"/>
  <c r="Q22" i="37"/>
  <c r="Q30" i="37"/>
  <c r="Q61" i="37"/>
  <c r="Q32" i="37"/>
  <c r="R11" i="37"/>
  <c r="R38" i="37"/>
  <c r="R65" i="37"/>
  <c r="R28" i="37"/>
  <c r="R72" i="37"/>
  <c r="R19" i="37"/>
  <c r="R69" i="37"/>
  <c r="R66" i="37"/>
  <c r="R44" i="37"/>
  <c r="R41" i="37"/>
  <c r="R16" i="37"/>
  <c r="R53" i="37"/>
  <c r="R14" i="37"/>
  <c r="R22" i="37"/>
  <c r="R30" i="37"/>
  <c r="R61" i="37"/>
  <c r="R32" i="37"/>
  <c r="S11" i="37"/>
  <c r="S38" i="37"/>
  <c r="S65" i="37"/>
  <c r="S28" i="37"/>
  <c r="S72" i="37"/>
  <c r="S19" i="37"/>
  <c r="S69" i="37"/>
  <c r="S66" i="37"/>
  <c r="S44" i="37"/>
  <c r="S41" i="37"/>
  <c r="S16" i="37"/>
  <c r="S53" i="37"/>
  <c r="S14" i="37"/>
  <c r="S22" i="37"/>
  <c r="S30" i="37"/>
  <c r="S61" i="37"/>
  <c r="S32" i="37"/>
  <c r="S12" i="37"/>
  <c r="P40" i="37"/>
  <c r="P37" i="37"/>
  <c r="P26" i="37"/>
  <c r="P46" i="37"/>
  <c r="P70" i="37"/>
  <c r="P42" i="37"/>
  <c r="P23" i="37"/>
  <c r="P29" i="37"/>
  <c r="P43" i="37"/>
  <c r="P67" i="37"/>
  <c r="P63" i="37"/>
  <c r="P64" i="37"/>
  <c r="P8" i="37"/>
  <c r="E59" i="39" s="1"/>
  <c r="P21" i="37"/>
  <c r="P52" i="37"/>
  <c r="P9" i="37"/>
  <c r="Q40" i="37"/>
  <c r="Q37" i="37"/>
  <c r="Q26" i="37"/>
  <c r="Q46" i="37"/>
  <c r="Q70" i="37"/>
  <c r="Q42" i="37"/>
  <c r="Q23" i="37"/>
  <c r="Q29" i="37"/>
  <c r="Q43" i="37"/>
  <c r="Q67" i="37"/>
  <c r="Q63" i="37"/>
  <c r="Q64" i="37"/>
  <c r="Q8" i="37"/>
  <c r="E63" i="39" s="1"/>
  <c r="Q21" i="37"/>
  <c r="Q52" i="37"/>
  <c r="Q9" i="37"/>
  <c r="R40" i="37"/>
  <c r="R37" i="37"/>
  <c r="R26" i="37"/>
  <c r="R46" i="37"/>
  <c r="R70" i="37"/>
  <c r="R42" i="37"/>
  <c r="R23" i="37"/>
  <c r="R29" i="37"/>
  <c r="R43" i="37"/>
  <c r="R67" i="37"/>
  <c r="R63" i="37"/>
  <c r="R64" i="37"/>
  <c r="R8" i="37"/>
  <c r="E67" i="39" s="1"/>
  <c r="R21" i="37"/>
  <c r="R52" i="37"/>
  <c r="R9" i="37"/>
  <c r="S40" i="37"/>
  <c r="S37" i="37"/>
  <c r="S26" i="37"/>
  <c r="S46" i="37"/>
  <c r="S70" i="37"/>
  <c r="S42" i="37"/>
  <c r="S23" i="37"/>
  <c r="S29" i="37"/>
  <c r="S43" i="37"/>
  <c r="S67" i="37"/>
  <c r="S63" i="37"/>
  <c r="S64" i="37"/>
  <c r="S8" i="37"/>
  <c r="E71" i="39" s="1"/>
  <c r="S21" i="37"/>
  <c r="S52" i="37"/>
  <c r="S9" i="37"/>
  <c r="U3" i="35"/>
  <c r="U4" i="35"/>
  <c r="U5" i="35"/>
  <c r="U6" i="35"/>
  <c r="U7" i="35"/>
  <c r="U8" i="35"/>
  <c r="U9" i="35"/>
  <c r="U10" i="35"/>
  <c r="U11" i="35"/>
  <c r="U12" i="35"/>
  <c r="U13" i="35"/>
  <c r="U14" i="35"/>
  <c r="U15" i="35"/>
  <c r="U16" i="35"/>
  <c r="U17" i="35"/>
  <c r="U18" i="35"/>
  <c r="U19" i="35"/>
  <c r="U20" i="35"/>
  <c r="U21" i="35"/>
  <c r="U22" i="35"/>
  <c r="U23" i="35"/>
  <c r="U24" i="35"/>
  <c r="U25" i="35"/>
  <c r="U26" i="35"/>
  <c r="U27" i="35"/>
  <c r="U28" i="35"/>
  <c r="U29" i="35"/>
  <c r="U30" i="35"/>
  <c r="U31" i="35"/>
  <c r="U32" i="35"/>
  <c r="U33" i="35"/>
  <c r="U34" i="35"/>
  <c r="U35" i="35"/>
  <c r="U36" i="35"/>
  <c r="U37" i="35"/>
  <c r="U38" i="35"/>
  <c r="U39" i="35"/>
  <c r="U40" i="35"/>
  <c r="U41" i="35"/>
  <c r="U42" i="35"/>
  <c r="U43" i="35"/>
  <c r="U44" i="35"/>
  <c r="U45" i="35"/>
  <c r="U46" i="35"/>
  <c r="U47" i="35"/>
  <c r="U48" i="35"/>
  <c r="U49" i="35"/>
  <c r="U50" i="35"/>
  <c r="U51" i="35"/>
  <c r="U52" i="35"/>
  <c r="U53" i="35"/>
  <c r="U54" i="35"/>
  <c r="U55" i="35"/>
  <c r="U56" i="35"/>
  <c r="U57" i="35"/>
  <c r="U58" i="35"/>
  <c r="U59" i="35"/>
  <c r="U60" i="35"/>
  <c r="U61" i="35"/>
  <c r="U62" i="35"/>
  <c r="U63" i="35"/>
  <c r="U64" i="35"/>
  <c r="U65" i="35"/>
  <c r="U66" i="35"/>
  <c r="U67" i="35"/>
  <c r="U68" i="35"/>
  <c r="U69" i="35"/>
  <c r="U70" i="35"/>
  <c r="U71" i="35"/>
  <c r="U72" i="35"/>
  <c r="U73" i="35"/>
  <c r="U74" i="35"/>
  <c r="U75" i="35"/>
  <c r="U76" i="35"/>
  <c r="U77" i="35"/>
  <c r="U78" i="35"/>
  <c r="U79" i="35"/>
  <c r="U80" i="35"/>
  <c r="U81" i="35"/>
  <c r="U82" i="35"/>
  <c r="U83" i="35"/>
  <c r="U84" i="35"/>
  <c r="U85" i="35"/>
  <c r="U86" i="35"/>
  <c r="U87" i="35"/>
  <c r="U88" i="35"/>
  <c r="U89" i="35"/>
  <c r="U90" i="35"/>
  <c r="U91" i="35"/>
  <c r="U92" i="35"/>
  <c r="U2" i="35"/>
  <c r="T3" i="35"/>
  <c r="T4" i="35"/>
  <c r="T5" i="35"/>
  <c r="T6" i="35"/>
  <c r="T7" i="35"/>
  <c r="T8" i="35"/>
  <c r="T9" i="35"/>
  <c r="T10" i="35"/>
  <c r="T11" i="35"/>
  <c r="T12" i="35"/>
  <c r="T13" i="35"/>
  <c r="T14" i="35"/>
  <c r="T15" i="35"/>
  <c r="T16" i="35"/>
  <c r="T17" i="35"/>
  <c r="T18" i="35"/>
  <c r="T19" i="35"/>
  <c r="T20" i="35"/>
  <c r="T21" i="35"/>
  <c r="T22" i="35"/>
  <c r="T23" i="35"/>
  <c r="T24" i="35"/>
  <c r="T25" i="35"/>
  <c r="T26" i="35"/>
  <c r="T27" i="35"/>
  <c r="T28" i="35"/>
  <c r="T29" i="35"/>
  <c r="T30" i="35"/>
  <c r="T31" i="35"/>
  <c r="T32" i="35"/>
  <c r="T33" i="35"/>
  <c r="T34" i="35"/>
  <c r="T35" i="35"/>
  <c r="T36" i="35"/>
  <c r="T37" i="35"/>
  <c r="T38" i="35"/>
  <c r="T39" i="35"/>
  <c r="T40" i="35"/>
  <c r="T41" i="35"/>
  <c r="T42" i="35"/>
  <c r="T43" i="35"/>
  <c r="T44" i="35"/>
  <c r="T45" i="35"/>
  <c r="T46" i="35"/>
  <c r="T47" i="35"/>
  <c r="T48" i="35"/>
  <c r="T49" i="35"/>
  <c r="T50" i="35"/>
  <c r="T51" i="35"/>
  <c r="T52" i="35"/>
  <c r="T53" i="35"/>
  <c r="T54" i="35"/>
  <c r="T55" i="35"/>
  <c r="T56" i="35"/>
  <c r="T57" i="35"/>
  <c r="T58" i="35"/>
  <c r="T59" i="35"/>
  <c r="T60" i="35"/>
  <c r="T61" i="35"/>
  <c r="T62" i="35"/>
  <c r="T63" i="35"/>
  <c r="T64" i="35"/>
  <c r="T65" i="35"/>
  <c r="T66" i="35"/>
  <c r="T67" i="35"/>
  <c r="T68" i="35"/>
  <c r="T69" i="35"/>
  <c r="T70" i="35"/>
  <c r="T71" i="35"/>
  <c r="T72" i="35"/>
  <c r="T73" i="35"/>
  <c r="T74" i="35"/>
  <c r="T75" i="35"/>
  <c r="T76" i="35"/>
  <c r="T77" i="35"/>
  <c r="T78" i="35"/>
  <c r="T79" i="35"/>
  <c r="T80" i="35"/>
  <c r="T81" i="35"/>
  <c r="T82" i="35"/>
  <c r="T83" i="35"/>
  <c r="T84" i="35"/>
  <c r="T85" i="35"/>
  <c r="T86" i="35"/>
  <c r="T87" i="35"/>
  <c r="T88" i="35"/>
  <c r="T89" i="35"/>
  <c r="T90" i="35"/>
  <c r="T91" i="35"/>
  <c r="T92" i="35"/>
  <c r="T2" i="35"/>
  <c r="AM9" i="36"/>
  <c r="AM10" i="36"/>
  <c r="AM11" i="36"/>
  <c r="AM12" i="36"/>
  <c r="AM13" i="36"/>
  <c r="AM14" i="36"/>
  <c r="AM15" i="36"/>
  <c r="AM16" i="36"/>
  <c r="AM17" i="36"/>
  <c r="AM18" i="36"/>
  <c r="AM19" i="36"/>
  <c r="AM20" i="36"/>
  <c r="AM21" i="36"/>
  <c r="AM22" i="36"/>
  <c r="AM23" i="36"/>
  <c r="AM24" i="36"/>
  <c r="AM25" i="36"/>
  <c r="AM26" i="36"/>
  <c r="AM27" i="36"/>
  <c r="AM28" i="36"/>
  <c r="AM29" i="36"/>
  <c r="AM30" i="36"/>
  <c r="AM31" i="36"/>
  <c r="AM32" i="36"/>
  <c r="AM33" i="36"/>
  <c r="AM34" i="36"/>
  <c r="AM35" i="36"/>
  <c r="AM36" i="36"/>
  <c r="AM37" i="36"/>
  <c r="AM38" i="36"/>
  <c r="AM39" i="36"/>
  <c r="AM40" i="36"/>
  <c r="AM41" i="36"/>
  <c r="AM42" i="36"/>
  <c r="AM43" i="36"/>
  <c r="AM44" i="36"/>
  <c r="AM45" i="36"/>
  <c r="AM46" i="36"/>
  <c r="AM47" i="36"/>
  <c r="AM48" i="36"/>
  <c r="AM49" i="36"/>
  <c r="AM50" i="36"/>
  <c r="AM51" i="36"/>
  <c r="AM52" i="36"/>
  <c r="AM53" i="36"/>
  <c r="AM54" i="36"/>
  <c r="AM55" i="36"/>
  <c r="AM56" i="36"/>
  <c r="AM57" i="36"/>
  <c r="AM58" i="36"/>
  <c r="AM59" i="36"/>
  <c r="AM60" i="36"/>
  <c r="AM61" i="36"/>
  <c r="AM62" i="36"/>
  <c r="AM63" i="36"/>
  <c r="AM64" i="36"/>
  <c r="AM65" i="36"/>
  <c r="AM66" i="36"/>
  <c r="AM67" i="36"/>
  <c r="AM68" i="36"/>
  <c r="AM69" i="36"/>
  <c r="AM70" i="36"/>
  <c r="AM71" i="36"/>
  <c r="AM72" i="36"/>
  <c r="AM73" i="36"/>
  <c r="AM74" i="36"/>
  <c r="AM75" i="36"/>
  <c r="AM76" i="36"/>
  <c r="AM77" i="36"/>
  <c r="AM8" i="36"/>
  <c r="AL9" i="36"/>
  <c r="AL10" i="36"/>
  <c r="AL11" i="36"/>
  <c r="AL12" i="36"/>
  <c r="AL13" i="36"/>
  <c r="AL14" i="36"/>
  <c r="AL15" i="36"/>
  <c r="AL16" i="36"/>
  <c r="AL17" i="36"/>
  <c r="AL18" i="36"/>
  <c r="AL19" i="36"/>
  <c r="AL20" i="36"/>
  <c r="AL21" i="36"/>
  <c r="AL22" i="36"/>
  <c r="AL23" i="36"/>
  <c r="AL24" i="36"/>
  <c r="AL25" i="36"/>
  <c r="AL26" i="36"/>
  <c r="AL27" i="36"/>
  <c r="AL28" i="36"/>
  <c r="AL29" i="36"/>
  <c r="AL30" i="36"/>
  <c r="AL31" i="36"/>
  <c r="AL32" i="36"/>
  <c r="AL33" i="36"/>
  <c r="AL34" i="36"/>
  <c r="AL35" i="36"/>
  <c r="AL36" i="36"/>
  <c r="AL37" i="36"/>
  <c r="AL38" i="36"/>
  <c r="AL39" i="36"/>
  <c r="AL40" i="36"/>
  <c r="AL41" i="36"/>
  <c r="AL42" i="36"/>
  <c r="AL43" i="36"/>
  <c r="AL44" i="36"/>
  <c r="AL45" i="36"/>
  <c r="AL46" i="36"/>
  <c r="AL47" i="36"/>
  <c r="AL48" i="36"/>
  <c r="AL49" i="36"/>
  <c r="AL50" i="36"/>
  <c r="AL51" i="36"/>
  <c r="AL52" i="36"/>
  <c r="AL53" i="36"/>
  <c r="AL54" i="36"/>
  <c r="AL55" i="36"/>
  <c r="AL56" i="36"/>
  <c r="AL57" i="36"/>
  <c r="AL58" i="36"/>
  <c r="AL59" i="36"/>
  <c r="AL60" i="36"/>
  <c r="AL61" i="36"/>
  <c r="AL62" i="36"/>
  <c r="AL63" i="36"/>
  <c r="AL64" i="36"/>
  <c r="AL65" i="36"/>
  <c r="AL66" i="36"/>
  <c r="AL67" i="36"/>
  <c r="AL68" i="36"/>
  <c r="AL69" i="36"/>
  <c r="AL70" i="36"/>
  <c r="AL71" i="36"/>
  <c r="AL72" i="36"/>
  <c r="AL73" i="36"/>
  <c r="AL74" i="36"/>
  <c r="AL75" i="36"/>
  <c r="AL76" i="36"/>
  <c r="AL77" i="36"/>
  <c r="AL8" i="36"/>
  <c r="AG9" i="36"/>
  <c r="AG10" i="36"/>
  <c r="AG11" i="36"/>
  <c r="AG12" i="36"/>
  <c r="AG13" i="36"/>
  <c r="AG14" i="36"/>
  <c r="AG15" i="36"/>
  <c r="AG16" i="36"/>
  <c r="AG17" i="36"/>
  <c r="AG18" i="36"/>
  <c r="AG19" i="36"/>
  <c r="AG20" i="36"/>
  <c r="AG21" i="36"/>
  <c r="AG22" i="36"/>
  <c r="AG23" i="36"/>
  <c r="AG24" i="36"/>
  <c r="AG25" i="36"/>
  <c r="AG26" i="36"/>
  <c r="AG27" i="36"/>
  <c r="AG28" i="36"/>
  <c r="AG29" i="36"/>
  <c r="AG30" i="36"/>
  <c r="AG31" i="36"/>
  <c r="AG32" i="36"/>
  <c r="AG33" i="36"/>
  <c r="AG34" i="36"/>
  <c r="AG35" i="36"/>
  <c r="AG36" i="36"/>
  <c r="AG37" i="36"/>
  <c r="AG38" i="36"/>
  <c r="AG39" i="36"/>
  <c r="AG40" i="36"/>
  <c r="AG41" i="36"/>
  <c r="AG42" i="36"/>
  <c r="AG43" i="36"/>
  <c r="AG44" i="36"/>
  <c r="AG45" i="36"/>
  <c r="AG46" i="36"/>
  <c r="AG47" i="36"/>
  <c r="AG48" i="36"/>
  <c r="AG49" i="36"/>
  <c r="AG50" i="36"/>
  <c r="AG51" i="36"/>
  <c r="AG52" i="36"/>
  <c r="AG53" i="36"/>
  <c r="AG54" i="36"/>
  <c r="AG55" i="36"/>
  <c r="AG56" i="36"/>
  <c r="AG57" i="36"/>
  <c r="AG58" i="36"/>
  <c r="AG59" i="36"/>
  <c r="AG60" i="36"/>
  <c r="AG61" i="36"/>
  <c r="AG62" i="36"/>
  <c r="AG63" i="36"/>
  <c r="AG64" i="36"/>
  <c r="AG65" i="36"/>
  <c r="AG66" i="36"/>
  <c r="AG67" i="36"/>
  <c r="AG68" i="36"/>
  <c r="AG69" i="36"/>
  <c r="AG70" i="36"/>
  <c r="AG71" i="36"/>
  <c r="AG72" i="36"/>
  <c r="AG73" i="36"/>
  <c r="AG74" i="36"/>
  <c r="AG75" i="36"/>
  <c r="AG76" i="36"/>
  <c r="AG77" i="36"/>
  <c r="AG8" i="36"/>
  <c r="AF9" i="36"/>
  <c r="AF10" i="36"/>
  <c r="AF11" i="36"/>
  <c r="AF12" i="36"/>
  <c r="AF13" i="36"/>
  <c r="AF14" i="36"/>
  <c r="AF15" i="36"/>
  <c r="AF16" i="36"/>
  <c r="AF17" i="36"/>
  <c r="AF18" i="36"/>
  <c r="AF19" i="36"/>
  <c r="AF20" i="36"/>
  <c r="AF21" i="36"/>
  <c r="AF22" i="36"/>
  <c r="AF23" i="36"/>
  <c r="AF24" i="36"/>
  <c r="AF25" i="36"/>
  <c r="AF26" i="36"/>
  <c r="AF27" i="36"/>
  <c r="AF28" i="36"/>
  <c r="AF29" i="36"/>
  <c r="AF30" i="36"/>
  <c r="AF31" i="36"/>
  <c r="AF32" i="36"/>
  <c r="AF33" i="36"/>
  <c r="AF34" i="36"/>
  <c r="AF35" i="36"/>
  <c r="AF36" i="36"/>
  <c r="AF37" i="36"/>
  <c r="AF38" i="36"/>
  <c r="AF39" i="36"/>
  <c r="AF40" i="36"/>
  <c r="AF41" i="36"/>
  <c r="AF42" i="36"/>
  <c r="AF43" i="36"/>
  <c r="AF44" i="36"/>
  <c r="AF45" i="36"/>
  <c r="AF46" i="36"/>
  <c r="AF47" i="36"/>
  <c r="AF48" i="36"/>
  <c r="AF49" i="36"/>
  <c r="AF50" i="36"/>
  <c r="AF51" i="36"/>
  <c r="AF52" i="36"/>
  <c r="AF53" i="36"/>
  <c r="AF54" i="36"/>
  <c r="AF55" i="36"/>
  <c r="AF56" i="36"/>
  <c r="AF57" i="36"/>
  <c r="AF58" i="36"/>
  <c r="AF59" i="36"/>
  <c r="AF60" i="36"/>
  <c r="AF61" i="36"/>
  <c r="AF62" i="36"/>
  <c r="AF63" i="36"/>
  <c r="AF64" i="36"/>
  <c r="AF65" i="36"/>
  <c r="AF66" i="36"/>
  <c r="AF67" i="36"/>
  <c r="AF68" i="36"/>
  <c r="AF69" i="36"/>
  <c r="AF70" i="36"/>
  <c r="AF71" i="36"/>
  <c r="AF72" i="36"/>
  <c r="AF73" i="36"/>
  <c r="AF74" i="36"/>
  <c r="AF75" i="36"/>
  <c r="AF76" i="36"/>
  <c r="AF77" i="36"/>
  <c r="AF8" i="36"/>
  <c r="AA9" i="36" l="1"/>
  <c r="AA10" i="36"/>
  <c r="AA11" i="36"/>
  <c r="AA12" i="36"/>
  <c r="AA13" i="36"/>
  <c r="AA14" i="36"/>
  <c r="AA15" i="36"/>
  <c r="AA16" i="36"/>
  <c r="AA17" i="36"/>
  <c r="AA18" i="36"/>
  <c r="AA19" i="36"/>
  <c r="AA20" i="36"/>
  <c r="AA21" i="36"/>
  <c r="AA22" i="36"/>
  <c r="AA23" i="36"/>
  <c r="AA24" i="36"/>
  <c r="AA25" i="36"/>
  <c r="AA26" i="36"/>
  <c r="AA27" i="36"/>
  <c r="AA28" i="36"/>
  <c r="AA29" i="36"/>
  <c r="AA30" i="36"/>
  <c r="AA31" i="36"/>
  <c r="AA32" i="36"/>
  <c r="AA33" i="36"/>
  <c r="AA34" i="36"/>
  <c r="AA35" i="36"/>
  <c r="AA36" i="36"/>
  <c r="AA37" i="36"/>
  <c r="AA38" i="36"/>
  <c r="AA39" i="36"/>
  <c r="AA40" i="36"/>
  <c r="AA41" i="36"/>
  <c r="AA42" i="36"/>
  <c r="AA43" i="36"/>
  <c r="AA44" i="36"/>
  <c r="AA45" i="36"/>
  <c r="AA46" i="36"/>
  <c r="AA47" i="36"/>
  <c r="AA48" i="36"/>
  <c r="AA49" i="36"/>
  <c r="AA50" i="36"/>
  <c r="AA51" i="36"/>
  <c r="AA52" i="36"/>
  <c r="AA53" i="36"/>
  <c r="AA54" i="36"/>
  <c r="AA55" i="36"/>
  <c r="AA56" i="36"/>
  <c r="AA57" i="36"/>
  <c r="AA58" i="36"/>
  <c r="AA59" i="36"/>
  <c r="AA60" i="36"/>
  <c r="AA61" i="36"/>
  <c r="AA62" i="36"/>
  <c r="AA63" i="36"/>
  <c r="AA64" i="36"/>
  <c r="AA65" i="36"/>
  <c r="AA66" i="36"/>
  <c r="AA67" i="36"/>
  <c r="AA68" i="36"/>
  <c r="AA69" i="36"/>
  <c r="AA70" i="36"/>
  <c r="AA71" i="36"/>
  <c r="AA72" i="36"/>
  <c r="AA73" i="36"/>
  <c r="AA74" i="36"/>
  <c r="AA75" i="36"/>
  <c r="AA76" i="36"/>
  <c r="AA77" i="36"/>
  <c r="AA8" i="36"/>
  <c r="W9" i="36"/>
  <c r="Z9" i="36" s="1"/>
  <c r="W10" i="36"/>
  <c r="Z10" i="36" s="1"/>
  <c r="W11" i="36"/>
  <c r="Z11" i="36" s="1"/>
  <c r="W12" i="36"/>
  <c r="Z12" i="36" s="1"/>
  <c r="W13" i="36"/>
  <c r="Z13" i="36" s="1"/>
  <c r="W14" i="36"/>
  <c r="Z14" i="36" s="1"/>
  <c r="W15" i="36"/>
  <c r="Z15" i="36" s="1"/>
  <c r="W16" i="36"/>
  <c r="Z16" i="36" s="1"/>
  <c r="W17" i="36"/>
  <c r="Z17" i="36" s="1"/>
  <c r="W18" i="36"/>
  <c r="Z18" i="36" s="1"/>
  <c r="W19" i="36"/>
  <c r="Z19" i="36" s="1"/>
  <c r="W20" i="36"/>
  <c r="Z20" i="36" s="1"/>
  <c r="W21" i="36"/>
  <c r="Z21" i="36" s="1"/>
  <c r="W22" i="36"/>
  <c r="Z22" i="36" s="1"/>
  <c r="W23" i="36"/>
  <c r="Z23" i="36" s="1"/>
  <c r="W24" i="36"/>
  <c r="Z24" i="36" s="1"/>
  <c r="W25" i="36"/>
  <c r="Z25" i="36" s="1"/>
  <c r="W26" i="36"/>
  <c r="Z26" i="36" s="1"/>
  <c r="W27" i="36"/>
  <c r="Z27" i="36" s="1"/>
  <c r="W28" i="36"/>
  <c r="Z28" i="36" s="1"/>
  <c r="W29" i="36"/>
  <c r="Z29" i="36" s="1"/>
  <c r="W30" i="36"/>
  <c r="Z30" i="36" s="1"/>
  <c r="W31" i="36"/>
  <c r="Z31" i="36" s="1"/>
  <c r="W32" i="36"/>
  <c r="Z32" i="36" s="1"/>
  <c r="W33" i="36"/>
  <c r="Z33" i="36" s="1"/>
  <c r="W34" i="36"/>
  <c r="Z34" i="36" s="1"/>
  <c r="W35" i="36"/>
  <c r="Z35" i="36" s="1"/>
  <c r="W36" i="36"/>
  <c r="Z36" i="36" s="1"/>
  <c r="W37" i="36"/>
  <c r="Z37" i="36" s="1"/>
  <c r="W38" i="36"/>
  <c r="Z38" i="36" s="1"/>
  <c r="W39" i="36"/>
  <c r="Z39" i="36" s="1"/>
  <c r="W40" i="36"/>
  <c r="Z40" i="36" s="1"/>
  <c r="W41" i="36"/>
  <c r="Z41" i="36" s="1"/>
  <c r="W42" i="36"/>
  <c r="Z42" i="36" s="1"/>
  <c r="W43" i="36"/>
  <c r="Z43" i="36" s="1"/>
  <c r="W44" i="36"/>
  <c r="Z44" i="36" s="1"/>
  <c r="W45" i="36"/>
  <c r="Z45" i="36" s="1"/>
  <c r="W46" i="36"/>
  <c r="Z46" i="36" s="1"/>
  <c r="W47" i="36"/>
  <c r="Z47" i="36" s="1"/>
  <c r="W48" i="36"/>
  <c r="Z48" i="36" s="1"/>
  <c r="W49" i="36"/>
  <c r="Z49" i="36" s="1"/>
  <c r="W50" i="36"/>
  <c r="Z50" i="36" s="1"/>
  <c r="W51" i="36"/>
  <c r="Z51" i="36" s="1"/>
  <c r="W52" i="36"/>
  <c r="Z52" i="36" s="1"/>
  <c r="W53" i="36"/>
  <c r="Z53" i="36" s="1"/>
  <c r="W54" i="36"/>
  <c r="Z54" i="36" s="1"/>
  <c r="W55" i="36"/>
  <c r="Z55" i="36" s="1"/>
  <c r="W56" i="36"/>
  <c r="Z56" i="36" s="1"/>
  <c r="W57" i="36"/>
  <c r="Z57" i="36" s="1"/>
  <c r="W58" i="36"/>
  <c r="Z58" i="36" s="1"/>
  <c r="W59" i="36"/>
  <c r="Z59" i="36" s="1"/>
  <c r="W60" i="36"/>
  <c r="Z60" i="36" s="1"/>
  <c r="W61" i="36"/>
  <c r="Z61" i="36" s="1"/>
  <c r="W62" i="36"/>
  <c r="Z62" i="36" s="1"/>
  <c r="W63" i="36"/>
  <c r="Z63" i="36" s="1"/>
  <c r="W64" i="36"/>
  <c r="Z64" i="36" s="1"/>
  <c r="W65" i="36"/>
  <c r="Z65" i="36" s="1"/>
  <c r="W66" i="36"/>
  <c r="Z66" i="36" s="1"/>
  <c r="W67" i="36"/>
  <c r="Z67" i="36" s="1"/>
  <c r="W68" i="36"/>
  <c r="Z68" i="36" s="1"/>
  <c r="W69" i="36"/>
  <c r="Z69" i="36" s="1"/>
  <c r="W70" i="36"/>
  <c r="Z70" i="36" s="1"/>
  <c r="W71" i="36"/>
  <c r="Z71" i="36" s="1"/>
  <c r="W72" i="36"/>
  <c r="Z72" i="36" s="1"/>
  <c r="W73" i="36"/>
  <c r="Z73" i="36" s="1"/>
  <c r="W74" i="36"/>
  <c r="Z74" i="36" s="1"/>
  <c r="W75" i="36"/>
  <c r="Z75" i="36" s="1"/>
  <c r="W76" i="36"/>
  <c r="Z76" i="36" s="1"/>
  <c r="W77" i="36"/>
  <c r="Z77" i="36" s="1"/>
  <c r="W8" i="36"/>
  <c r="Z8" i="36" s="1"/>
  <c r="AD6" i="25" l="1"/>
  <c r="AA6" i="25"/>
  <c r="Q9" i="31" l="1"/>
  <c r="Q10" i="31"/>
  <c r="Q11" i="31"/>
  <c r="Q12" i="31"/>
  <c r="Q13" i="31"/>
  <c r="Q14" i="31"/>
  <c r="Q15" i="31"/>
  <c r="Q16" i="31"/>
  <c r="Q17" i="31"/>
  <c r="Q18" i="31"/>
  <c r="Q19" i="31"/>
  <c r="Q20" i="31"/>
  <c r="Q21" i="31"/>
  <c r="Q22" i="31"/>
  <c r="Q23" i="31"/>
  <c r="Q24" i="31"/>
  <c r="Q25" i="31"/>
  <c r="Q26" i="31"/>
  <c r="Q27" i="31"/>
  <c r="Q28" i="31"/>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8" i="31"/>
  <c r="P9" i="31"/>
  <c r="P10" i="31"/>
  <c r="P11" i="31"/>
  <c r="P12" i="31"/>
  <c r="P13" i="31"/>
  <c r="P14" i="31"/>
  <c r="P15" i="31"/>
  <c r="P16" i="31"/>
  <c r="P17" i="31"/>
  <c r="P18" i="31"/>
  <c r="P19" i="31"/>
  <c r="P20" i="31"/>
  <c r="P21" i="31"/>
  <c r="P22" i="31"/>
  <c r="P23" i="31"/>
  <c r="P24" i="31"/>
  <c r="P25" i="31"/>
  <c r="P26" i="31"/>
  <c r="P27" i="31"/>
  <c r="P28" i="31"/>
  <c r="P29" i="31"/>
  <c r="P30" i="31"/>
  <c r="P31" i="31"/>
  <c r="P32" i="31"/>
  <c r="P33" i="31"/>
  <c r="P34" i="31"/>
  <c r="P35" i="31"/>
  <c r="P36" i="31"/>
  <c r="P37" i="31"/>
  <c r="P38" i="31"/>
  <c r="P39" i="31"/>
  <c r="P40" i="31"/>
  <c r="P41" i="31"/>
  <c r="P42" i="31"/>
  <c r="P43" i="31"/>
  <c r="P44" i="31"/>
  <c r="P45" i="31"/>
  <c r="P46" i="31"/>
  <c r="P47" i="31"/>
  <c r="P48" i="31"/>
  <c r="P49" i="31"/>
  <c r="P50" i="31"/>
  <c r="P51" i="31"/>
  <c r="P52" i="31"/>
  <c r="P53" i="31"/>
  <c r="P54" i="31"/>
  <c r="P55" i="31"/>
  <c r="P56" i="31"/>
  <c r="P57" i="31"/>
  <c r="P58" i="31"/>
  <c r="P59" i="31"/>
  <c r="P60" i="31"/>
  <c r="P61" i="31"/>
  <c r="P62" i="31"/>
  <c r="P63" i="31"/>
  <c r="P64" i="31"/>
  <c r="P65" i="31"/>
  <c r="P66" i="31"/>
  <c r="P67" i="31"/>
  <c r="P68" i="31"/>
  <c r="P69" i="31"/>
  <c r="P70" i="31"/>
  <c r="P71" i="31"/>
  <c r="P72" i="31"/>
  <c r="P73" i="31"/>
  <c r="P74" i="31"/>
  <c r="P8" i="31"/>
  <c r="O4" i="25" l="1"/>
  <c r="AG17" i="31" s="1"/>
  <c r="AG53" i="31" l="1"/>
  <c r="AG8" i="31"/>
  <c r="AG74" i="31"/>
  <c r="AG10" i="31"/>
  <c r="AG14" i="31"/>
  <c r="AG18" i="31"/>
  <c r="AG22" i="31"/>
  <c r="AG26" i="31"/>
  <c r="AG30" i="31"/>
  <c r="AG34" i="31"/>
  <c r="AG38" i="31"/>
  <c r="AG42" i="31"/>
  <c r="AG46" i="31"/>
  <c r="AG50" i="31"/>
  <c r="AG54" i="31"/>
  <c r="AG58" i="31"/>
  <c r="AG62" i="31"/>
  <c r="AG70" i="31"/>
  <c r="AG11" i="31"/>
  <c r="AG15" i="31"/>
  <c r="AG19" i="31"/>
  <c r="AG23" i="31"/>
  <c r="AG27" i="31"/>
  <c r="AG31" i="31"/>
  <c r="AG35" i="31"/>
  <c r="AG39" i="31"/>
  <c r="AG43" i="31"/>
  <c r="AG47" i="31"/>
  <c r="AG51" i="31"/>
  <c r="AG55" i="31"/>
  <c r="AG59" i="31"/>
  <c r="AG63" i="31"/>
  <c r="AG67" i="31"/>
  <c r="AG71" i="31"/>
  <c r="AG12" i="31"/>
  <c r="AG16" i="31"/>
  <c r="AG20" i="31"/>
  <c r="AG24" i="31"/>
  <c r="AG11" i="25" s="1"/>
  <c r="AG28" i="31"/>
  <c r="AG32" i="31"/>
  <c r="AG36" i="31"/>
  <c r="AG40" i="31"/>
  <c r="AG9" i="25" s="1"/>
  <c r="AG44" i="31"/>
  <c r="AG48" i="31"/>
  <c r="AG52" i="31"/>
  <c r="AG56" i="31"/>
  <c r="AG60" i="31"/>
  <c r="AG64" i="31"/>
  <c r="AG39" i="25" s="1"/>
  <c r="AG68" i="31"/>
  <c r="AG72" i="31"/>
  <c r="AG9" i="31"/>
  <c r="AG54" i="25" s="1"/>
  <c r="AG13" i="31"/>
  <c r="AG21" i="31"/>
  <c r="AG25" i="31"/>
  <c r="AG29" i="31"/>
  <c r="AG33" i="31"/>
  <c r="AG37" i="31"/>
  <c r="AG41" i="31"/>
  <c r="AG45" i="31"/>
  <c r="AG49" i="31"/>
  <c r="AG57" i="31"/>
  <c r="AG61" i="31"/>
  <c r="AG65" i="31"/>
  <c r="AG69" i="31"/>
  <c r="AG73" i="31"/>
  <c r="AG66" i="31"/>
  <c r="K3" i="33"/>
  <c r="K4" i="33"/>
  <c r="K5" i="33"/>
  <c r="K6" i="33"/>
  <c r="K7" i="33"/>
  <c r="K8" i="33"/>
  <c r="K9" i="33"/>
  <c r="K10" i="33"/>
  <c r="K11" i="33"/>
  <c r="K12" i="33"/>
  <c r="K13" i="33"/>
  <c r="K14" i="33"/>
  <c r="K15" i="33"/>
  <c r="K16" i="33"/>
  <c r="K17" i="33"/>
  <c r="K18" i="33"/>
  <c r="K19" i="33"/>
  <c r="K20" i="33"/>
  <c r="K21" i="33"/>
  <c r="K22" i="33"/>
  <c r="K23" i="33"/>
  <c r="K24" i="33"/>
  <c r="K25" i="33"/>
  <c r="K26" i="33"/>
  <c r="K27" i="33"/>
  <c r="K28" i="33"/>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2" i="33"/>
  <c r="AD2" i="23"/>
  <c r="AC2" i="23"/>
  <c r="AB2" i="23"/>
  <c r="AA2" i="23"/>
  <c r="M3" i="32"/>
  <c r="M4" i="32"/>
  <c r="M5" i="32"/>
  <c r="M6" i="32"/>
  <c r="M7" i="32"/>
  <c r="M8" i="32"/>
  <c r="M9" i="32"/>
  <c r="M10" i="32"/>
  <c r="M11" i="32"/>
  <c r="M12" i="32"/>
  <c r="M13" i="32"/>
  <c r="M14" i="32"/>
  <c r="M15" i="32"/>
  <c r="M16" i="32"/>
  <c r="M17" i="32"/>
  <c r="M18" i="32"/>
  <c r="M19" i="32"/>
  <c r="M20" i="32"/>
  <c r="M21" i="32"/>
  <c r="M22" i="32"/>
  <c r="M23" i="32"/>
  <c r="M24" i="32"/>
  <c r="M25" i="32"/>
  <c r="M26" i="32"/>
  <c r="M27" i="32"/>
  <c r="M28" i="32"/>
  <c r="M29" i="32"/>
  <c r="M30" i="32"/>
  <c r="M31" i="32"/>
  <c r="M32" i="32"/>
  <c r="M33" i="32"/>
  <c r="M34" i="32"/>
  <c r="M35" i="32"/>
  <c r="M36" i="32"/>
  <c r="M37" i="32"/>
  <c r="M38" i="32"/>
  <c r="M39" i="32"/>
  <c r="M40" i="32"/>
  <c r="M41" i="32"/>
  <c r="M42" i="32"/>
  <c r="M43" i="32"/>
  <c r="M44" i="32"/>
  <c r="M45" i="32"/>
  <c r="M46" i="32"/>
  <c r="M47" i="32"/>
  <c r="M48" i="32"/>
  <c r="M49" i="32"/>
  <c r="M50" i="32"/>
  <c r="M51" i="32"/>
  <c r="M52" i="32"/>
  <c r="M53" i="32"/>
  <c r="M54" i="32"/>
  <c r="M55" i="32"/>
  <c r="M56" i="32"/>
  <c r="M57" i="32"/>
  <c r="M58" i="32"/>
  <c r="M59" i="32"/>
  <c r="M60" i="32"/>
  <c r="M61" i="32"/>
  <c r="M62" i="32"/>
  <c r="M63" i="32"/>
  <c r="M64" i="32"/>
  <c r="M65" i="32"/>
  <c r="M66" i="32"/>
  <c r="M67" i="32"/>
  <c r="M68" i="32"/>
  <c r="M69" i="32"/>
  <c r="M70" i="32"/>
  <c r="M71" i="32"/>
  <c r="M72" i="32"/>
  <c r="M73" i="32"/>
  <c r="M74" i="32"/>
  <c r="M75" i="32"/>
  <c r="M76" i="32"/>
  <c r="M77" i="32"/>
  <c r="M78" i="32"/>
  <c r="M79" i="32"/>
  <c r="M80" i="32"/>
  <c r="M81" i="32"/>
  <c r="M82" i="32"/>
  <c r="M83" i="32"/>
  <c r="M84" i="32"/>
  <c r="M85" i="32"/>
  <c r="M86" i="32"/>
  <c r="M87" i="32"/>
  <c r="M88" i="32"/>
  <c r="M89" i="32"/>
  <c r="M90" i="32"/>
  <c r="M91" i="32"/>
  <c r="M92" i="32"/>
  <c r="M2" i="32"/>
  <c r="AD6" i="34"/>
  <c r="AC6" i="34"/>
  <c r="AB6" i="34"/>
  <c r="AA6" i="34"/>
  <c r="AG56" i="25" l="1"/>
  <c r="AG2" i="25"/>
  <c r="AG52" i="25"/>
  <c r="AG3" i="25"/>
  <c r="AG49" i="25"/>
  <c r="AG13" i="25"/>
  <c r="AG30" i="25"/>
  <c r="AG42" i="25"/>
  <c r="AG55" i="25"/>
  <c r="AG45" i="25"/>
  <c r="AG18" i="25"/>
  <c r="AG21" i="25"/>
  <c r="AG50" i="25"/>
  <c r="AG38" i="25"/>
  <c r="AG7" i="25"/>
  <c r="AG34" i="25"/>
  <c r="AG31" i="25"/>
  <c r="AG41" i="25"/>
  <c r="AG5" i="25"/>
  <c r="AG40" i="25"/>
  <c r="AG15" i="25"/>
  <c r="AG20" i="25"/>
  <c r="AG26" i="25"/>
  <c r="AG46" i="25"/>
  <c r="AG35" i="25"/>
  <c r="AG57" i="25"/>
  <c r="AG48" i="25"/>
  <c r="AG25" i="25"/>
  <c r="AG44" i="25"/>
  <c r="AG22" i="25"/>
  <c r="AG14" i="25"/>
  <c r="AG29" i="25"/>
  <c r="AG23" i="25"/>
  <c r="AG27" i="25"/>
  <c r="AG6" i="25"/>
  <c r="AG24" i="25"/>
  <c r="AG28" i="25"/>
  <c r="AG12" i="25"/>
  <c r="AG33" i="25"/>
  <c r="AG4" i="25"/>
  <c r="AG10" i="25"/>
  <c r="AG19" i="25"/>
  <c r="AG51" i="25"/>
  <c r="AG16" i="25"/>
  <c r="AG37" i="25"/>
  <c r="AG47" i="25"/>
  <c r="AG8" i="25"/>
  <c r="AG17" i="25"/>
  <c r="AG36" i="25"/>
  <c r="AG53" i="25"/>
  <c r="AG32" i="25"/>
  <c r="AA2" i="25"/>
  <c r="AG43" i="25"/>
  <c r="P3" i="35"/>
  <c r="P4" i="35"/>
  <c r="P5" i="35"/>
  <c r="P6" i="35"/>
  <c r="P7" i="35"/>
  <c r="P8" i="35"/>
  <c r="P9" i="35"/>
  <c r="P10" i="35"/>
  <c r="P11" i="35"/>
  <c r="P12" i="35"/>
  <c r="P13" i="35"/>
  <c r="P14" i="35"/>
  <c r="P15" i="35"/>
  <c r="P16" i="35"/>
  <c r="P17" i="35"/>
  <c r="P18" i="35"/>
  <c r="P19" i="35"/>
  <c r="P20" i="35"/>
  <c r="P21" i="35"/>
  <c r="P22" i="35"/>
  <c r="P23" i="35"/>
  <c r="P24" i="35"/>
  <c r="P25" i="35"/>
  <c r="P26" i="35"/>
  <c r="P27" i="35"/>
  <c r="P28" i="35"/>
  <c r="P29" i="35"/>
  <c r="P30" i="35"/>
  <c r="P31" i="35"/>
  <c r="P32" i="35"/>
  <c r="P33" i="35"/>
  <c r="P34" i="35"/>
  <c r="P35" i="35"/>
  <c r="P36" i="35"/>
  <c r="P37" i="35"/>
  <c r="P38" i="35"/>
  <c r="P39" i="35"/>
  <c r="P40" i="35"/>
  <c r="P41" i="35"/>
  <c r="P42" i="35"/>
  <c r="P43" i="35"/>
  <c r="P44" i="35"/>
  <c r="P45" i="35"/>
  <c r="P46" i="35"/>
  <c r="P47" i="35"/>
  <c r="P48" i="35"/>
  <c r="P49" i="35"/>
  <c r="P50" i="35"/>
  <c r="P51" i="35"/>
  <c r="P52" i="35"/>
  <c r="P53" i="35"/>
  <c r="P54" i="35"/>
  <c r="P55" i="35"/>
  <c r="P56" i="35"/>
  <c r="P57" i="35"/>
  <c r="P58" i="35"/>
  <c r="P59" i="35"/>
  <c r="P60" i="35"/>
  <c r="P61" i="35"/>
  <c r="P62" i="35"/>
  <c r="P63" i="35"/>
  <c r="P64" i="35"/>
  <c r="P65" i="35"/>
  <c r="P66" i="35"/>
  <c r="P67" i="35"/>
  <c r="P68" i="35"/>
  <c r="P69" i="35"/>
  <c r="P70" i="35"/>
  <c r="P71" i="35"/>
  <c r="P72" i="35"/>
  <c r="P73" i="35"/>
  <c r="P74" i="35"/>
  <c r="P75" i="35"/>
  <c r="P76" i="35"/>
  <c r="P77" i="35"/>
  <c r="P78" i="35"/>
  <c r="P79" i="35"/>
  <c r="P80" i="35"/>
  <c r="P81" i="35"/>
  <c r="P82" i="35"/>
  <c r="P83" i="35"/>
  <c r="P84" i="35"/>
  <c r="P85" i="35"/>
  <c r="P86" i="35"/>
  <c r="P87" i="35"/>
  <c r="P88" i="35"/>
  <c r="P89" i="35"/>
  <c r="P90" i="35"/>
  <c r="P91" i="35"/>
  <c r="P92" i="35"/>
  <c r="P2" i="35"/>
  <c r="AD2" i="34"/>
  <c r="P3" i="34" l="1"/>
  <c r="O3" i="35"/>
  <c r="O4" i="35"/>
  <c r="O5" i="35"/>
  <c r="O6" i="35"/>
  <c r="O7" i="35"/>
  <c r="O8" i="35"/>
  <c r="O9" i="35"/>
  <c r="O10" i="35"/>
  <c r="O11" i="35"/>
  <c r="O12" i="35"/>
  <c r="O13" i="35"/>
  <c r="O14" i="35"/>
  <c r="O15" i="35"/>
  <c r="O16" i="35"/>
  <c r="O17" i="35"/>
  <c r="O18" i="35"/>
  <c r="O19" i="35"/>
  <c r="O20" i="35"/>
  <c r="O21" i="35"/>
  <c r="O22" i="35"/>
  <c r="O23" i="35"/>
  <c r="O24" i="35"/>
  <c r="O25" i="35"/>
  <c r="O26" i="35"/>
  <c r="O27" i="35"/>
  <c r="O28" i="35"/>
  <c r="O29" i="35"/>
  <c r="O30" i="35"/>
  <c r="O31" i="35"/>
  <c r="O32" i="35"/>
  <c r="O33" i="35"/>
  <c r="O34" i="35"/>
  <c r="O35" i="35"/>
  <c r="O36" i="35"/>
  <c r="O37" i="35"/>
  <c r="O38" i="35"/>
  <c r="O39" i="35"/>
  <c r="O40" i="35"/>
  <c r="O41" i="35"/>
  <c r="O42" i="35"/>
  <c r="O43" i="35"/>
  <c r="O44" i="35"/>
  <c r="O45" i="35"/>
  <c r="O46" i="35"/>
  <c r="O47" i="35"/>
  <c r="O48" i="35"/>
  <c r="O49" i="35"/>
  <c r="O50" i="35"/>
  <c r="O51" i="35"/>
  <c r="O52" i="35"/>
  <c r="O53" i="35"/>
  <c r="O54" i="35"/>
  <c r="O55" i="35"/>
  <c r="O56" i="35"/>
  <c r="O57" i="35"/>
  <c r="O58" i="35"/>
  <c r="O59" i="35"/>
  <c r="O60" i="35"/>
  <c r="O61" i="35"/>
  <c r="O62" i="35"/>
  <c r="O63" i="35"/>
  <c r="O64" i="35"/>
  <c r="O65" i="35"/>
  <c r="O66" i="35"/>
  <c r="O67" i="35"/>
  <c r="O68" i="35"/>
  <c r="O69" i="35"/>
  <c r="O70" i="35"/>
  <c r="O71" i="35"/>
  <c r="O72" i="35"/>
  <c r="O73" i="35"/>
  <c r="O74" i="35"/>
  <c r="O75" i="35"/>
  <c r="O76" i="35"/>
  <c r="O77" i="35"/>
  <c r="O78" i="35"/>
  <c r="O79" i="35"/>
  <c r="O80" i="35"/>
  <c r="O81" i="35"/>
  <c r="O82" i="35"/>
  <c r="O83" i="35"/>
  <c r="O84" i="35"/>
  <c r="O85" i="35"/>
  <c r="O86" i="35"/>
  <c r="O87" i="35"/>
  <c r="O88" i="35"/>
  <c r="O89" i="35"/>
  <c r="O90" i="35"/>
  <c r="O91" i="35"/>
  <c r="O92" i="35"/>
  <c r="O2" i="35"/>
  <c r="AA9" i="25"/>
  <c r="AL9" i="31"/>
  <c r="AL10" i="31"/>
  <c r="AL11" i="31"/>
  <c r="AL12" i="31"/>
  <c r="AN22" i="25" s="1"/>
  <c r="AL13" i="31"/>
  <c r="AL14" i="31"/>
  <c r="AL15" i="31"/>
  <c r="AL16" i="31"/>
  <c r="AL17" i="31"/>
  <c r="AL18" i="31"/>
  <c r="AL19" i="31"/>
  <c r="AN34" i="25" s="1"/>
  <c r="AL20" i="31"/>
  <c r="AL21" i="31"/>
  <c r="AL22" i="31"/>
  <c r="AL23" i="31"/>
  <c r="AL24" i="31"/>
  <c r="AN9" i="25" s="1"/>
  <c r="AL25" i="31"/>
  <c r="AL26" i="31"/>
  <c r="AL27" i="31"/>
  <c r="AN55" i="25" s="1"/>
  <c r="AL28" i="31"/>
  <c r="AL29" i="31"/>
  <c r="AN27" i="25" s="1"/>
  <c r="AL30" i="31"/>
  <c r="AL31" i="31"/>
  <c r="AL32" i="31"/>
  <c r="AL33" i="31"/>
  <c r="AN57" i="25" s="1"/>
  <c r="AL34" i="31"/>
  <c r="AL35" i="31"/>
  <c r="AN60" i="25" s="1"/>
  <c r="AL36" i="31"/>
  <c r="AL37" i="31"/>
  <c r="AN6" i="25" s="1"/>
  <c r="AL38" i="31"/>
  <c r="AL39" i="31"/>
  <c r="AL40" i="31"/>
  <c r="AL41" i="31"/>
  <c r="AN7" i="25" s="1"/>
  <c r="AL42" i="31"/>
  <c r="AN10" i="25" s="1"/>
  <c r="AL43" i="31"/>
  <c r="AL44" i="31"/>
  <c r="AL45" i="31"/>
  <c r="AN47" i="25" s="1"/>
  <c r="AL46" i="31"/>
  <c r="AN50" i="25" s="1"/>
  <c r="AL47" i="31"/>
  <c r="AL48" i="31"/>
  <c r="AN3" i="25" s="1"/>
  <c r="AL49" i="31"/>
  <c r="AN51" i="25" s="1"/>
  <c r="AL50" i="31"/>
  <c r="AL51" i="31"/>
  <c r="AN8" i="25" s="1"/>
  <c r="AL52" i="31"/>
  <c r="AN24" i="25" s="1"/>
  <c r="AL53" i="31"/>
  <c r="AL54" i="31"/>
  <c r="AL55" i="31"/>
  <c r="AN52" i="25" s="1"/>
  <c r="AL56" i="31"/>
  <c r="AL57" i="31"/>
  <c r="AN45" i="25" s="1"/>
  <c r="AL58" i="31"/>
  <c r="AL59" i="31"/>
  <c r="AN37" i="25" s="1"/>
  <c r="AL60" i="31"/>
  <c r="AN46" i="25" s="1"/>
  <c r="AL61" i="31"/>
  <c r="AN20" i="25" s="1"/>
  <c r="AL62" i="31"/>
  <c r="AL63" i="31"/>
  <c r="AL64" i="31"/>
  <c r="AN28" i="25" s="1"/>
  <c r="AL65" i="31"/>
  <c r="AL66" i="31"/>
  <c r="AL67" i="31"/>
  <c r="AN16" i="25" s="1"/>
  <c r="AL68" i="31"/>
  <c r="AN53" i="25" s="1"/>
  <c r="AL69" i="31"/>
  <c r="AN48" i="25" s="1"/>
  <c r="AL70" i="31"/>
  <c r="AN21" i="25" s="1"/>
  <c r="AL71" i="31"/>
  <c r="AL72" i="31"/>
  <c r="AN2" i="25" s="1"/>
  <c r="AL73" i="31"/>
  <c r="AN26" i="25" s="1"/>
  <c r="AL74" i="31"/>
  <c r="AN30" i="25" s="1"/>
  <c r="AL8" i="31"/>
  <c r="AK9" i="31"/>
  <c r="AK10" i="31"/>
  <c r="AO14" i="25" s="1"/>
  <c r="AK11" i="31"/>
  <c r="AK12" i="31"/>
  <c r="AK13" i="31"/>
  <c r="AK14" i="31"/>
  <c r="AO12" i="25" s="1"/>
  <c r="AK15" i="31"/>
  <c r="AK16" i="31"/>
  <c r="AK17" i="31"/>
  <c r="AK18" i="31"/>
  <c r="AO33" i="25" s="1"/>
  <c r="AK19" i="31"/>
  <c r="AK20" i="31"/>
  <c r="AK21" i="31"/>
  <c r="AK22" i="31"/>
  <c r="AO39" i="25" s="1"/>
  <c r="AK23" i="31"/>
  <c r="AK24" i="31"/>
  <c r="AK25" i="31"/>
  <c r="AK26" i="31"/>
  <c r="AO58" i="25" s="1"/>
  <c r="AK27" i="31"/>
  <c r="AO55" i="25" s="1"/>
  <c r="AK28" i="31"/>
  <c r="AK29" i="31"/>
  <c r="AO27" i="25" s="1"/>
  <c r="AK30" i="31"/>
  <c r="AO44" i="25" s="1"/>
  <c r="AK31" i="31"/>
  <c r="AK32" i="31"/>
  <c r="AK33" i="31"/>
  <c r="AK34" i="31"/>
  <c r="AO42" i="25" s="1"/>
  <c r="AK35" i="31"/>
  <c r="AO60" i="25" s="1"/>
  <c r="AK36" i="31"/>
  <c r="AK37" i="31"/>
  <c r="AO6" i="25" s="1"/>
  <c r="AK38" i="31"/>
  <c r="AK39" i="31"/>
  <c r="AK40" i="31"/>
  <c r="AK41" i="31"/>
  <c r="AO7" i="25" s="1"/>
  <c r="AK42" i="31"/>
  <c r="AO10" i="25" s="1"/>
  <c r="AK43" i="31"/>
  <c r="AK44" i="31"/>
  <c r="AK45" i="31"/>
  <c r="AO47" i="25" s="1"/>
  <c r="AK46" i="31"/>
  <c r="AO50" i="25" s="1"/>
  <c r="AK47" i="31"/>
  <c r="AK48" i="31"/>
  <c r="AO3" i="25" s="1"/>
  <c r="AK49" i="31"/>
  <c r="AO51" i="25" s="1"/>
  <c r="AK50" i="31"/>
  <c r="AK51" i="31"/>
  <c r="AO8" i="25" s="1"/>
  <c r="AK52" i="31"/>
  <c r="AO24" i="25" s="1"/>
  <c r="AK53" i="31"/>
  <c r="AK54" i="31"/>
  <c r="AO43" i="25" s="1"/>
  <c r="AK55" i="31"/>
  <c r="AO52" i="25" s="1"/>
  <c r="AK56" i="31"/>
  <c r="AK57" i="31"/>
  <c r="AK58" i="31"/>
  <c r="AK59" i="31"/>
  <c r="AK60" i="31"/>
  <c r="AK61" i="31"/>
  <c r="AO20" i="25" s="1"/>
  <c r="AK62" i="31"/>
  <c r="AK63" i="31"/>
  <c r="AK64" i="31"/>
  <c r="AK65" i="31"/>
  <c r="AK66" i="31"/>
  <c r="AO17" i="25" s="1"/>
  <c r="AK67" i="31"/>
  <c r="AK68" i="31"/>
  <c r="AK69" i="31"/>
  <c r="AO48" i="25" s="1"/>
  <c r="AK70" i="31"/>
  <c r="AO21" i="25" s="1"/>
  <c r="AK71" i="31"/>
  <c r="AK72" i="31"/>
  <c r="AO2" i="25" s="1"/>
  <c r="AK73" i="31"/>
  <c r="AO26" i="25" s="1"/>
  <c r="AK74" i="31"/>
  <c r="AO30" i="25" s="1"/>
  <c r="AK8" i="31"/>
  <c r="AF9" i="31"/>
  <c r="AF10" i="31"/>
  <c r="AF11" i="31"/>
  <c r="AF12" i="31"/>
  <c r="AF13" i="31"/>
  <c r="AF14" i="31"/>
  <c r="AF15" i="31"/>
  <c r="AF16" i="31"/>
  <c r="AF17" i="31"/>
  <c r="AF18" i="31"/>
  <c r="AF19" i="31"/>
  <c r="AF20" i="31"/>
  <c r="AF21" i="31"/>
  <c r="AF22" i="31"/>
  <c r="AF23" i="31"/>
  <c r="AF24" i="31"/>
  <c r="AF25" i="31"/>
  <c r="AF26" i="31"/>
  <c r="AF27" i="31"/>
  <c r="AF28" i="31"/>
  <c r="AF29" i="31"/>
  <c r="AF30" i="31"/>
  <c r="AF31" i="31"/>
  <c r="AF32" i="31"/>
  <c r="AF33" i="31"/>
  <c r="AF34" i="31"/>
  <c r="AF35" i="31"/>
  <c r="AF36" i="31"/>
  <c r="AF37" i="31"/>
  <c r="AF38" i="31"/>
  <c r="AF39" i="31"/>
  <c r="AF40" i="31"/>
  <c r="AF41" i="31"/>
  <c r="AF42" i="31"/>
  <c r="AF43" i="31"/>
  <c r="AF44" i="31"/>
  <c r="AF45" i="31"/>
  <c r="AF46" i="31"/>
  <c r="AF47" i="31"/>
  <c r="AF48" i="31"/>
  <c r="AF49" i="31"/>
  <c r="AF50" i="31"/>
  <c r="AF51" i="31"/>
  <c r="AF52" i="31"/>
  <c r="AF53" i="31"/>
  <c r="AF54" i="31"/>
  <c r="AF55" i="31"/>
  <c r="AF56" i="31"/>
  <c r="AF57" i="31"/>
  <c r="AF58" i="31"/>
  <c r="AF59" i="31"/>
  <c r="AF60" i="31"/>
  <c r="AF61" i="31"/>
  <c r="AF62" i="31"/>
  <c r="AF63" i="31"/>
  <c r="AF64" i="31"/>
  <c r="AF65" i="31"/>
  <c r="AF66" i="31"/>
  <c r="AF67" i="31"/>
  <c r="AF68" i="31"/>
  <c r="AF69" i="31"/>
  <c r="AF70" i="31"/>
  <c r="AF71" i="31"/>
  <c r="AF72" i="31"/>
  <c r="AF73" i="31"/>
  <c r="AF74" i="31"/>
  <c r="AF8" i="31"/>
  <c r="AD2" i="25" s="1"/>
  <c r="AO23" i="25" l="1"/>
  <c r="AO22" i="25"/>
  <c r="AN42" i="25"/>
  <c r="AN41" i="25"/>
  <c r="AO41" i="25"/>
  <c r="AN38" i="25"/>
  <c r="AN59" i="25"/>
  <c r="AN56" i="25"/>
  <c r="AN49" i="25"/>
  <c r="AO53" i="25"/>
  <c r="AO46" i="25"/>
  <c r="AO18" i="25"/>
  <c r="AO15" i="25"/>
  <c r="AO35" i="25"/>
  <c r="AO9" i="25"/>
  <c r="AN36" i="25"/>
  <c r="AN31" i="25"/>
  <c r="AN4" i="25"/>
  <c r="AN40" i="25"/>
  <c r="AN19" i="25"/>
  <c r="AN13" i="25"/>
  <c r="AN32" i="25"/>
  <c r="AN11" i="25"/>
  <c r="AN5" i="25"/>
  <c r="AO45" i="25"/>
  <c r="AO57" i="25"/>
  <c r="AO5" i="25"/>
  <c r="AN18" i="25"/>
  <c r="AN15" i="25"/>
  <c r="AN35" i="25"/>
  <c r="AO28" i="25"/>
  <c r="AO38" i="25"/>
  <c r="AO59" i="25"/>
  <c r="AO56" i="25"/>
  <c r="AO49" i="25"/>
  <c r="AN25" i="25"/>
  <c r="AN29" i="25"/>
  <c r="AO25" i="25"/>
  <c r="AO16" i="25"/>
  <c r="AO29" i="25"/>
  <c r="AO37" i="25"/>
  <c r="AO36" i="25"/>
  <c r="AO31" i="25"/>
  <c r="AO4" i="25"/>
  <c r="AO40" i="25"/>
  <c r="AO19" i="25"/>
  <c r="AO13" i="25"/>
  <c r="AO34" i="25"/>
  <c r="AO32" i="25"/>
  <c r="AO11" i="25"/>
  <c r="AN17" i="25"/>
  <c r="AN23" i="25"/>
  <c r="AN43" i="25"/>
  <c r="AN44" i="25"/>
  <c r="AN58" i="25"/>
  <c r="AN39" i="25"/>
  <c r="AN33" i="25"/>
  <c r="AN12" i="25"/>
  <c r="AN14" i="25"/>
  <c r="AN54" i="25"/>
  <c r="AB6" i="25"/>
  <c r="AO54" i="25"/>
  <c r="AC6" i="25"/>
  <c r="X3" i="35"/>
  <c r="X7" i="35"/>
  <c r="X11" i="35"/>
  <c r="X15" i="35"/>
  <c r="X19" i="35"/>
  <c r="X23" i="35"/>
  <c r="X27" i="35"/>
  <c r="X31" i="35"/>
  <c r="X35" i="35"/>
  <c r="X39" i="35"/>
  <c r="X43" i="35"/>
  <c r="X47" i="35"/>
  <c r="X51" i="35"/>
  <c r="X55" i="35"/>
  <c r="X59" i="35"/>
  <c r="X63" i="35"/>
  <c r="X67" i="35"/>
  <c r="X71" i="35"/>
  <c r="X75" i="35"/>
  <c r="X79" i="35"/>
  <c r="X83" i="35"/>
  <c r="X87" i="35"/>
  <c r="X91" i="35"/>
  <c r="X2" i="35"/>
  <c r="W6" i="35"/>
  <c r="W10" i="35"/>
  <c r="W14" i="35"/>
  <c r="W18" i="35"/>
  <c r="W22" i="35"/>
  <c r="W26" i="35"/>
  <c r="W30" i="35"/>
  <c r="W34" i="35"/>
  <c r="W38" i="35"/>
  <c r="W42" i="35"/>
  <c r="W46" i="35"/>
  <c r="W50" i="35"/>
  <c r="W54" i="35"/>
  <c r="W58" i="35"/>
  <c r="W62" i="35"/>
  <c r="W66" i="35"/>
  <c r="W70" i="35"/>
  <c r="W74" i="35"/>
  <c r="W78" i="35"/>
  <c r="W82" i="35"/>
  <c r="W86" i="35"/>
  <c r="W90" i="35"/>
  <c r="X14" i="35"/>
  <c r="X46" i="35"/>
  <c r="X58" i="35"/>
  <c r="X66" i="35"/>
  <c r="X78" i="35"/>
  <c r="X90" i="35"/>
  <c r="W13" i="35"/>
  <c r="W29" i="35"/>
  <c r="W41" i="35"/>
  <c r="W53" i="35"/>
  <c r="W65" i="35"/>
  <c r="W77" i="35"/>
  <c r="W89" i="35"/>
  <c r="X4" i="35"/>
  <c r="X8" i="35"/>
  <c r="X12" i="35"/>
  <c r="X16" i="35"/>
  <c r="X20" i="35"/>
  <c r="X24" i="35"/>
  <c r="X28" i="35"/>
  <c r="X32" i="35"/>
  <c r="X36" i="35"/>
  <c r="X40" i="35"/>
  <c r="X44" i="35"/>
  <c r="X48" i="35"/>
  <c r="X52" i="35"/>
  <c r="X56" i="35"/>
  <c r="X60" i="35"/>
  <c r="X64" i="35"/>
  <c r="X68" i="35"/>
  <c r="X72" i="35"/>
  <c r="X76" i="35"/>
  <c r="X80" i="35"/>
  <c r="X84" i="35"/>
  <c r="X88" i="35"/>
  <c r="X92" i="35"/>
  <c r="AU8" i="34" s="1"/>
  <c r="W3" i="35"/>
  <c r="W7" i="35"/>
  <c r="AT44" i="34" s="1"/>
  <c r="W11" i="35"/>
  <c r="W15" i="35"/>
  <c r="W19" i="35"/>
  <c r="W23" i="35"/>
  <c r="W27" i="35"/>
  <c r="W31" i="35"/>
  <c r="AT32" i="34" s="1"/>
  <c r="W35" i="35"/>
  <c r="W39" i="35"/>
  <c r="W43" i="35"/>
  <c r="W47" i="35"/>
  <c r="W51" i="35"/>
  <c r="W55" i="35"/>
  <c r="W59" i="35"/>
  <c r="W63" i="35"/>
  <c r="W67" i="35"/>
  <c r="W71" i="35"/>
  <c r="W75" i="35"/>
  <c r="W79" i="35"/>
  <c r="W83" i="35"/>
  <c r="W87" i="35"/>
  <c r="W91" i="35"/>
  <c r="W2" i="35"/>
  <c r="X10" i="35"/>
  <c r="X22" i="35"/>
  <c r="X30" i="35"/>
  <c r="X38" i="35"/>
  <c r="X50" i="35"/>
  <c r="X62" i="35"/>
  <c r="X70" i="35"/>
  <c r="X82" i="35"/>
  <c r="W5" i="35"/>
  <c r="W9" i="35"/>
  <c r="W21" i="35"/>
  <c r="W25" i="35"/>
  <c r="W37" i="35"/>
  <c r="W49" i="35"/>
  <c r="W57" i="35"/>
  <c r="W73" i="35"/>
  <c r="W85" i="35"/>
  <c r="X5" i="35"/>
  <c r="X9" i="35"/>
  <c r="X13" i="35"/>
  <c r="X17" i="35"/>
  <c r="X21" i="35"/>
  <c r="X25" i="35"/>
  <c r="X29" i="35"/>
  <c r="AU21" i="34" s="1"/>
  <c r="X33" i="35"/>
  <c r="X37" i="35"/>
  <c r="X41" i="35"/>
  <c r="X45" i="35"/>
  <c r="AU18" i="34" s="1"/>
  <c r="X49" i="35"/>
  <c r="X53" i="35"/>
  <c r="X57" i="35"/>
  <c r="AU55" i="34" s="1"/>
  <c r="X61" i="35"/>
  <c r="X65" i="35"/>
  <c r="X69" i="35"/>
  <c r="X73" i="35"/>
  <c r="X77" i="35"/>
  <c r="X81" i="35"/>
  <c r="X85" i="35"/>
  <c r="X89" i="35"/>
  <c r="W4" i="35"/>
  <c r="W8" i="35"/>
  <c r="W12" i="35"/>
  <c r="W16" i="35"/>
  <c r="W20" i="35"/>
  <c r="W24" i="35"/>
  <c r="W28" i="35"/>
  <c r="W32" i="35"/>
  <c r="W36" i="35"/>
  <c r="W40" i="35"/>
  <c r="W44" i="35"/>
  <c r="W48" i="35"/>
  <c r="W52" i="35"/>
  <c r="W56" i="35"/>
  <c r="W60" i="35"/>
  <c r="W64" i="35"/>
  <c r="W68" i="35"/>
  <c r="W72" i="35"/>
  <c r="W76" i="35"/>
  <c r="W80" i="35"/>
  <c r="W84" i="35"/>
  <c r="W88" i="35"/>
  <c r="W92" i="35"/>
  <c r="X6" i="35"/>
  <c r="AU14" i="34" s="1"/>
  <c r="X18" i="35"/>
  <c r="X26" i="35"/>
  <c r="X34" i="35"/>
  <c r="X42" i="35"/>
  <c r="X54" i="35"/>
  <c r="X74" i="35"/>
  <c r="X86" i="35"/>
  <c r="W17" i="35"/>
  <c r="W33" i="35"/>
  <c r="W45" i="35"/>
  <c r="W61" i="35"/>
  <c r="W69" i="35"/>
  <c r="W81" i="35"/>
  <c r="V3" i="35"/>
  <c r="V7" i="35"/>
  <c r="V11" i="35"/>
  <c r="V15" i="35"/>
  <c r="V19" i="35"/>
  <c r="V23" i="35"/>
  <c r="V27" i="35"/>
  <c r="V31" i="35"/>
  <c r="V35" i="35"/>
  <c r="V39" i="35"/>
  <c r="V43" i="35"/>
  <c r="V47" i="35"/>
  <c r="V51" i="35"/>
  <c r="V55" i="35"/>
  <c r="V59" i="35"/>
  <c r="V63" i="35"/>
  <c r="V67" i="35"/>
  <c r="V71" i="35"/>
  <c r="V75" i="35"/>
  <c r="V79" i="35"/>
  <c r="V83" i="35"/>
  <c r="V87" i="35"/>
  <c r="V91" i="35"/>
  <c r="V2" i="35"/>
  <c r="V46" i="35"/>
  <c r="V86" i="35"/>
  <c r="V4" i="35"/>
  <c r="V8" i="35"/>
  <c r="V12" i="35"/>
  <c r="V16" i="35"/>
  <c r="V20" i="35"/>
  <c r="V24" i="35"/>
  <c r="V28" i="35"/>
  <c r="V32" i="35"/>
  <c r="V36" i="35"/>
  <c r="V40" i="35"/>
  <c r="V44" i="35"/>
  <c r="V48" i="35"/>
  <c r="V52" i="35"/>
  <c r="V56" i="35"/>
  <c r="V60" i="35"/>
  <c r="V64" i="35"/>
  <c r="V68" i="35"/>
  <c r="V72" i="35"/>
  <c r="V76" i="35"/>
  <c r="V80" i="35"/>
  <c r="V84" i="35"/>
  <c r="V88" i="35"/>
  <c r="V92" i="35"/>
  <c r="V54" i="35"/>
  <c r="V5" i="35"/>
  <c r="V9" i="35"/>
  <c r="V13" i="35"/>
  <c r="V17" i="35"/>
  <c r="V21" i="35"/>
  <c r="V25" i="35"/>
  <c r="V29" i="35"/>
  <c r="V33" i="35"/>
  <c r="V37" i="35"/>
  <c r="V41" i="35"/>
  <c r="V45" i="35"/>
  <c r="V49" i="35"/>
  <c r="V53" i="35"/>
  <c r="V57" i="35"/>
  <c r="V61" i="35"/>
  <c r="V65" i="35"/>
  <c r="V69" i="35"/>
  <c r="V73" i="35"/>
  <c r="V77" i="35"/>
  <c r="V81" i="35"/>
  <c r="V85" i="35"/>
  <c r="V89" i="35"/>
  <c r="V6" i="35"/>
  <c r="V10" i="35"/>
  <c r="V14" i="35"/>
  <c r="V18" i="35"/>
  <c r="V22" i="35"/>
  <c r="V26" i="35"/>
  <c r="V30" i="35"/>
  <c r="V34" i="35"/>
  <c r="V38" i="35"/>
  <c r="V42" i="35"/>
  <c r="V50" i="35"/>
  <c r="V58" i="35"/>
  <c r="V62" i="35"/>
  <c r="V66" i="35"/>
  <c r="V70" i="35"/>
  <c r="V74" i="35"/>
  <c r="V78" i="35"/>
  <c r="V82" i="35"/>
  <c r="V90" i="35"/>
  <c r="AA86" i="35"/>
  <c r="AA87" i="35"/>
  <c r="AA88" i="35"/>
  <c r="AA89" i="35"/>
  <c r="AA90" i="35"/>
  <c r="AA91" i="35"/>
  <c r="AA92" i="35"/>
  <c r="Z86" i="35"/>
  <c r="Z87" i="35"/>
  <c r="Z88" i="35"/>
  <c r="Z89" i="35"/>
  <c r="Z90" i="35"/>
  <c r="Z91" i="35"/>
  <c r="Z92" i="35"/>
  <c r="Y86" i="35"/>
  <c r="Y87" i="35"/>
  <c r="Y88" i="35"/>
  <c r="Y89" i="35"/>
  <c r="Y90" i="35"/>
  <c r="Y91" i="35"/>
  <c r="Y92" i="35"/>
  <c r="J86" i="35"/>
  <c r="J87" i="35"/>
  <c r="J88" i="35"/>
  <c r="J89" i="35"/>
  <c r="J90" i="35"/>
  <c r="J91" i="35"/>
  <c r="J92" i="35"/>
  <c r="AA3" i="35"/>
  <c r="AA4" i="35"/>
  <c r="AA5" i="35"/>
  <c r="AA6" i="35"/>
  <c r="AA7" i="35"/>
  <c r="AA8" i="35"/>
  <c r="AA9" i="35"/>
  <c r="AA10" i="35"/>
  <c r="AA11" i="35"/>
  <c r="AA12" i="35"/>
  <c r="AA13" i="35"/>
  <c r="AA14" i="35"/>
  <c r="AA15" i="35"/>
  <c r="AA16" i="35"/>
  <c r="AA17" i="35"/>
  <c r="AA18" i="35"/>
  <c r="AA19" i="35"/>
  <c r="AA20" i="35"/>
  <c r="AA21" i="35"/>
  <c r="AA22" i="35"/>
  <c r="AA23" i="35"/>
  <c r="AA24" i="35"/>
  <c r="AA25" i="35"/>
  <c r="AA26" i="35"/>
  <c r="AA27" i="35"/>
  <c r="AA28" i="35"/>
  <c r="AA29" i="35"/>
  <c r="AA30" i="35"/>
  <c r="AA31" i="35"/>
  <c r="AA32" i="35"/>
  <c r="AA33" i="35"/>
  <c r="AA34" i="35"/>
  <c r="AA35" i="35"/>
  <c r="AA36" i="35"/>
  <c r="AA37" i="35"/>
  <c r="AA38" i="35"/>
  <c r="AA39" i="35"/>
  <c r="AA40" i="35"/>
  <c r="AA41" i="35"/>
  <c r="AA42" i="35"/>
  <c r="AA43" i="35"/>
  <c r="AA44" i="35"/>
  <c r="AA45" i="35"/>
  <c r="AA46" i="35"/>
  <c r="AA47" i="35"/>
  <c r="AA48" i="35"/>
  <c r="AA49" i="35"/>
  <c r="AA50" i="35"/>
  <c r="AA51" i="35"/>
  <c r="AA52" i="35"/>
  <c r="AA53" i="35"/>
  <c r="AA54" i="35"/>
  <c r="AA55" i="35"/>
  <c r="AA56" i="35"/>
  <c r="AA57" i="35"/>
  <c r="AA58" i="35"/>
  <c r="AA59" i="35"/>
  <c r="AA60" i="35"/>
  <c r="AA61" i="35"/>
  <c r="AA62" i="35"/>
  <c r="AA63" i="35"/>
  <c r="AA64" i="35"/>
  <c r="AA65" i="35"/>
  <c r="AA66" i="35"/>
  <c r="AA67" i="35"/>
  <c r="AA68" i="35"/>
  <c r="AA69" i="35"/>
  <c r="AA70" i="35"/>
  <c r="AA71" i="35"/>
  <c r="AA72" i="35"/>
  <c r="AA73" i="35"/>
  <c r="AA74" i="35"/>
  <c r="AA75" i="35"/>
  <c r="AA76" i="35"/>
  <c r="AA77" i="35"/>
  <c r="AA78" i="35"/>
  <c r="AA79" i="35"/>
  <c r="AA80" i="35"/>
  <c r="AA81" i="35"/>
  <c r="AA82" i="35"/>
  <c r="AA83" i="35"/>
  <c r="AA84" i="35"/>
  <c r="AA85" i="35"/>
  <c r="AA2" i="35"/>
  <c r="Z3" i="35"/>
  <c r="Z4" i="35"/>
  <c r="Z5" i="35"/>
  <c r="Z6" i="35"/>
  <c r="Z7" i="35"/>
  <c r="Z8" i="35"/>
  <c r="Z9" i="35"/>
  <c r="Z10" i="35"/>
  <c r="Z11" i="35"/>
  <c r="Z12" i="35"/>
  <c r="Z13" i="35"/>
  <c r="Z14" i="35"/>
  <c r="Z15" i="35"/>
  <c r="Z16" i="35"/>
  <c r="Z17" i="35"/>
  <c r="Z18" i="35"/>
  <c r="Z19" i="35"/>
  <c r="Z20" i="35"/>
  <c r="Z21" i="35"/>
  <c r="Z22" i="35"/>
  <c r="Z23" i="35"/>
  <c r="Z24" i="35"/>
  <c r="Z25" i="35"/>
  <c r="Z26" i="35"/>
  <c r="Z27" i="35"/>
  <c r="Z28" i="35"/>
  <c r="Z29" i="35"/>
  <c r="Z30" i="35"/>
  <c r="Z31" i="35"/>
  <c r="Z32" i="35"/>
  <c r="Z33" i="35"/>
  <c r="Z34" i="35"/>
  <c r="Z35" i="35"/>
  <c r="Z36" i="35"/>
  <c r="Z37" i="35"/>
  <c r="Z38" i="35"/>
  <c r="Z39" i="35"/>
  <c r="Z40" i="35"/>
  <c r="Z41" i="35"/>
  <c r="Z42" i="35"/>
  <c r="Z43" i="35"/>
  <c r="Z44" i="35"/>
  <c r="Z45" i="35"/>
  <c r="Z46" i="35"/>
  <c r="Z47" i="35"/>
  <c r="Z48" i="35"/>
  <c r="Z49" i="35"/>
  <c r="Z50" i="35"/>
  <c r="Z51" i="35"/>
  <c r="Z52" i="35"/>
  <c r="Z53" i="35"/>
  <c r="Z54" i="35"/>
  <c r="Z55" i="35"/>
  <c r="Z56" i="35"/>
  <c r="Z57" i="35"/>
  <c r="Z58" i="35"/>
  <c r="Z59" i="35"/>
  <c r="Z60" i="35"/>
  <c r="Z61" i="35"/>
  <c r="Z62" i="35"/>
  <c r="Z63" i="35"/>
  <c r="Z64" i="35"/>
  <c r="Z65" i="35"/>
  <c r="Z66" i="35"/>
  <c r="Z67" i="35"/>
  <c r="Z68" i="35"/>
  <c r="Z69" i="35"/>
  <c r="Z70" i="35"/>
  <c r="Z71" i="35"/>
  <c r="Z72" i="35"/>
  <c r="Z73" i="35"/>
  <c r="Z74" i="35"/>
  <c r="Z75" i="35"/>
  <c r="Z76" i="35"/>
  <c r="Z77" i="35"/>
  <c r="Z78" i="35"/>
  <c r="Z79" i="35"/>
  <c r="Z80" i="35"/>
  <c r="Z81" i="35"/>
  <c r="Z82" i="35"/>
  <c r="Z83" i="35"/>
  <c r="Z84" i="35"/>
  <c r="Z85" i="35"/>
  <c r="Z2" i="35"/>
  <c r="Y3" i="35"/>
  <c r="Y4" i="35"/>
  <c r="Y5" i="35"/>
  <c r="Y6" i="35"/>
  <c r="Y7" i="35"/>
  <c r="Y8" i="35"/>
  <c r="Y9" i="35"/>
  <c r="Y10" i="35"/>
  <c r="Y11" i="35"/>
  <c r="Y12" i="35"/>
  <c r="Y13" i="35"/>
  <c r="Y14" i="35"/>
  <c r="Y15" i="35"/>
  <c r="Y16" i="35"/>
  <c r="Y17" i="35"/>
  <c r="Y18" i="35"/>
  <c r="Y19" i="35"/>
  <c r="Y20" i="35"/>
  <c r="Y21" i="35"/>
  <c r="Y22" i="35"/>
  <c r="Y23" i="35"/>
  <c r="Y24" i="35"/>
  <c r="Y25" i="35"/>
  <c r="Y26" i="35"/>
  <c r="Y27" i="35"/>
  <c r="Y28" i="35"/>
  <c r="Y29" i="35"/>
  <c r="Y30" i="35"/>
  <c r="Y31" i="35"/>
  <c r="Y32" i="35"/>
  <c r="Y33" i="35"/>
  <c r="Y34" i="35"/>
  <c r="Y35" i="35"/>
  <c r="Y36" i="35"/>
  <c r="Y37" i="35"/>
  <c r="Y38" i="35"/>
  <c r="Y39" i="35"/>
  <c r="Y40" i="35"/>
  <c r="Y41" i="35"/>
  <c r="Y42" i="35"/>
  <c r="Y43" i="35"/>
  <c r="Y44" i="35"/>
  <c r="Y45" i="35"/>
  <c r="Y46" i="35"/>
  <c r="Y47" i="35"/>
  <c r="Y48" i="35"/>
  <c r="Y49" i="35"/>
  <c r="Y50" i="35"/>
  <c r="Y51" i="35"/>
  <c r="Y52" i="35"/>
  <c r="Y53" i="35"/>
  <c r="Y54" i="35"/>
  <c r="Y55" i="35"/>
  <c r="Y56" i="35"/>
  <c r="Y57" i="35"/>
  <c r="Y58" i="35"/>
  <c r="Y59" i="35"/>
  <c r="Y60" i="35"/>
  <c r="Y61" i="35"/>
  <c r="Y62" i="35"/>
  <c r="Y63" i="35"/>
  <c r="Y64" i="35"/>
  <c r="Y65" i="35"/>
  <c r="Y66" i="35"/>
  <c r="Y67" i="35"/>
  <c r="Y68" i="35"/>
  <c r="Y69" i="35"/>
  <c r="Y70" i="35"/>
  <c r="Y71" i="35"/>
  <c r="Y72" i="35"/>
  <c r="Y73" i="35"/>
  <c r="Y74" i="35"/>
  <c r="Y75" i="35"/>
  <c r="Y76" i="35"/>
  <c r="Y77" i="35"/>
  <c r="Y78" i="35"/>
  <c r="Y79" i="35"/>
  <c r="Y80" i="35"/>
  <c r="Y81" i="35"/>
  <c r="Y82" i="35"/>
  <c r="Y83" i="35"/>
  <c r="Y84" i="35"/>
  <c r="Y85" i="35"/>
  <c r="Y2" i="35"/>
  <c r="J3" i="35"/>
  <c r="J4" i="35"/>
  <c r="J5" i="35"/>
  <c r="J6" i="35"/>
  <c r="J7" i="35"/>
  <c r="J8" i="35"/>
  <c r="J9" i="35"/>
  <c r="J10" i="35"/>
  <c r="J11" i="35"/>
  <c r="J12" i="35"/>
  <c r="J13" i="35"/>
  <c r="J14" i="35"/>
  <c r="J15" i="35"/>
  <c r="J16" i="35"/>
  <c r="J17" i="35"/>
  <c r="J18" i="35"/>
  <c r="J19" i="35"/>
  <c r="J20" i="35"/>
  <c r="J21" i="35"/>
  <c r="J22" i="35"/>
  <c r="J23" i="35"/>
  <c r="J24" i="35"/>
  <c r="J25" i="35"/>
  <c r="J26" i="35"/>
  <c r="J27" i="35"/>
  <c r="J28" i="35"/>
  <c r="J29" i="35"/>
  <c r="J30" i="35"/>
  <c r="J31" i="35"/>
  <c r="J32" i="35"/>
  <c r="J33" i="35"/>
  <c r="J34" i="35"/>
  <c r="J35" i="35"/>
  <c r="J36" i="35"/>
  <c r="J37" i="35"/>
  <c r="J38" i="35"/>
  <c r="J39" i="35"/>
  <c r="J40" i="35"/>
  <c r="J41" i="35"/>
  <c r="J42" i="35"/>
  <c r="J43" i="35"/>
  <c r="J44" i="35"/>
  <c r="J45" i="35"/>
  <c r="J46" i="35"/>
  <c r="J47" i="35"/>
  <c r="J48" i="35"/>
  <c r="J49" i="35"/>
  <c r="J50" i="35"/>
  <c r="J51" i="35"/>
  <c r="J52" i="35"/>
  <c r="J53" i="35"/>
  <c r="J54" i="35"/>
  <c r="J55" i="35"/>
  <c r="J56" i="35"/>
  <c r="J57" i="35"/>
  <c r="J58" i="35"/>
  <c r="J59" i="35"/>
  <c r="J60" i="35"/>
  <c r="J61" i="35"/>
  <c r="J62" i="35"/>
  <c r="J63" i="35"/>
  <c r="J64" i="35"/>
  <c r="J65" i="35"/>
  <c r="J66" i="35"/>
  <c r="J67" i="35"/>
  <c r="J68" i="35"/>
  <c r="J69" i="35"/>
  <c r="J70" i="35"/>
  <c r="J71" i="35"/>
  <c r="J72" i="35"/>
  <c r="J73" i="35"/>
  <c r="J74" i="35"/>
  <c r="J75" i="35"/>
  <c r="J76" i="35"/>
  <c r="J77" i="35"/>
  <c r="J78" i="35"/>
  <c r="J79" i="35"/>
  <c r="J80" i="35"/>
  <c r="J81" i="35"/>
  <c r="J82" i="35"/>
  <c r="J83" i="35"/>
  <c r="J84" i="35"/>
  <c r="J85" i="35"/>
  <c r="J2" i="35"/>
  <c r="V62" i="36"/>
  <c r="V16" i="36"/>
  <c r="V8" i="36"/>
  <c r="V34" i="36"/>
  <c r="V60" i="36"/>
  <c r="V71" i="36"/>
  <c r="V10" i="36"/>
  <c r="V33" i="36"/>
  <c r="V64" i="36"/>
  <c r="V14" i="36"/>
  <c r="V35" i="36"/>
  <c r="V55" i="36"/>
  <c r="V31" i="36"/>
  <c r="V11" i="36"/>
  <c r="V77" i="36"/>
  <c r="V22" i="36"/>
  <c r="V23" i="36"/>
  <c r="V53" i="36"/>
  <c r="V32" i="36"/>
  <c r="V9" i="36"/>
  <c r="V15" i="36"/>
  <c r="V58" i="36"/>
  <c r="V54" i="36"/>
  <c r="V67" i="36"/>
  <c r="V56" i="36"/>
  <c r="V25" i="36"/>
  <c r="V61" i="36"/>
  <c r="V66" i="36"/>
  <c r="V17" i="36"/>
  <c r="V28" i="36"/>
  <c r="V74" i="36"/>
  <c r="V70" i="36"/>
  <c r="V44" i="36"/>
  <c r="V48" i="36"/>
  <c r="V63" i="36"/>
  <c r="V46" i="36"/>
  <c r="V47" i="36"/>
  <c r="V18" i="36"/>
  <c r="V51" i="36"/>
  <c r="V30" i="36"/>
  <c r="V69" i="36"/>
  <c r="V52" i="36"/>
  <c r="V36" i="36"/>
  <c r="V24" i="36"/>
  <c r="V72" i="36"/>
  <c r="V50" i="36"/>
  <c r="V59" i="36"/>
  <c r="V45" i="36"/>
  <c r="V20" i="36"/>
  <c r="V26" i="36"/>
  <c r="V65" i="36"/>
  <c r="V73" i="36"/>
  <c r="V75" i="36"/>
  <c r="V19" i="36"/>
  <c r="V76" i="36"/>
  <c r="V49" i="36"/>
  <c r="V29" i="36"/>
  <c r="V21" i="36"/>
  <c r="V57" i="36"/>
  <c r="V27" i="36"/>
  <c r="V68" i="36"/>
  <c r="V37" i="36"/>
  <c r="V39" i="36"/>
  <c r="V40" i="36"/>
  <c r="V41" i="36"/>
  <c r="V38" i="36"/>
  <c r="V42" i="36"/>
  <c r="V43" i="36"/>
  <c r="V12" i="36"/>
  <c r="V13" i="36"/>
  <c r="AU47" i="34" l="1"/>
  <c r="AU49" i="34"/>
  <c r="AT59" i="34"/>
  <c r="AT53" i="34"/>
  <c r="AS29" i="34"/>
  <c r="AS57" i="34"/>
  <c r="AT38" i="34"/>
  <c r="AU16" i="34"/>
  <c r="AT60" i="34"/>
  <c r="AU44" i="34"/>
  <c r="AS38" i="34"/>
  <c r="AT50" i="34"/>
  <c r="AT37" i="34"/>
  <c r="AU11" i="34"/>
  <c r="AU28" i="34"/>
  <c r="AU57" i="34"/>
  <c r="AT14" i="34"/>
  <c r="AT23" i="34"/>
  <c r="AU38" i="34"/>
  <c r="AS44" i="34"/>
  <c r="AU36" i="34"/>
  <c r="AS14" i="34"/>
  <c r="AS27" i="34"/>
  <c r="AT57" i="34"/>
  <c r="AU41" i="34"/>
  <c r="AU29" i="34"/>
  <c r="AT29" i="34"/>
  <c r="AT7" i="34"/>
  <c r="AT18" i="34"/>
  <c r="AT26" i="34"/>
  <c r="AT52" i="34"/>
  <c r="AU43" i="34"/>
  <c r="AU7" i="34"/>
  <c r="AU33" i="34"/>
  <c r="AU22" i="34"/>
  <c r="AU10" i="34"/>
  <c r="AU27" i="34"/>
  <c r="AT58" i="34"/>
  <c r="AU31" i="34"/>
  <c r="AS43" i="34"/>
  <c r="AS7" i="34"/>
  <c r="AT46" i="34"/>
  <c r="AU3" i="34"/>
  <c r="AS35" i="34"/>
  <c r="AS41" i="34"/>
  <c r="AS33" i="34"/>
  <c r="AS22" i="34"/>
  <c r="AS10" i="34"/>
  <c r="AU30" i="34"/>
  <c r="AS46" i="34"/>
  <c r="AS58" i="34"/>
  <c r="AT51" i="34"/>
  <c r="AS20" i="34"/>
  <c r="AS52" i="34"/>
  <c r="AU20" i="34"/>
  <c r="AS5" i="34"/>
  <c r="AS56" i="34"/>
  <c r="AS23" i="34"/>
  <c r="AS24" i="34"/>
  <c r="AT11" i="34"/>
  <c r="AT28" i="34"/>
  <c r="AT39" i="34"/>
  <c r="AT40" i="34"/>
  <c r="AT17" i="34"/>
  <c r="AU50" i="34"/>
  <c r="AU37" i="34"/>
  <c r="AT47" i="34"/>
  <c r="AT49" i="34"/>
  <c r="AS36" i="34"/>
  <c r="AS42" i="34"/>
  <c r="AS2" i="34"/>
  <c r="AS54" i="34"/>
  <c r="AS16" i="34"/>
  <c r="AS18" i="34"/>
  <c r="AS21" i="34"/>
  <c r="AS53" i="34"/>
  <c r="AU42" i="34"/>
  <c r="AT55" i="34"/>
  <c r="AU5" i="34"/>
  <c r="AT30" i="34"/>
  <c r="AU53" i="34"/>
  <c r="AS59" i="34"/>
  <c r="AT4" i="34"/>
  <c r="AT54" i="34"/>
  <c r="AU32" i="34"/>
  <c r="AS3" i="34"/>
  <c r="AS50" i="34"/>
  <c r="AS37" i="34"/>
  <c r="AS8" i="34"/>
  <c r="AS45" i="34"/>
  <c r="AT15" i="34"/>
  <c r="AT19" i="34"/>
  <c r="AT13" i="34"/>
  <c r="AT48" i="34"/>
  <c r="AT12" i="34"/>
  <c r="AU46" i="34"/>
  <c r="AU58" i="34"/>
  <c r="AT43" i="34"/>
  <c r="AT22" i="34"/>
  <c r="AT56" i="34"/>
  <c r="AT24" i="34"/>
  <c r="AU15" i="34"/>
  <c r="AU19" i="34"/>
  <c r="AU13" i="34"/>
  <c r="AU48" i="34"/>
  <c r="AU12" i="34"/>
  <c r="AT33" i="34"/>
  <c r="AU35" i="34"/>
  <c r="AU6" i="34"/>
  <c r="AT42" i="34"/>
  <c r="AT20" i="34"/>
  <c r="AT5" i="34"/>
  <c r="AT36" i="34"/>
  <c r="AU39" i="34"/>
  <c r="AU51" i="34"/>
  <c r="AU40" i="34"/>
  <c r="AU17" i="34"/>
  <c r="AU4" i="34"/>
  <c r="AU60" i="34"/>
  <c r="AU9" i="34"/>
  <c r="AS31" i="34"/>
  <c r="AS47" i="34"/>
  <c r="AS11" i="34"/>
  <c r="AS55" i="34"/>
  <c r="AS49" i="34"/>
  <c r="AS28" i="34"/>
  <c r="AS26" i="34"/>
  <c r="AS6" i="34"/>
  <c r="AS39" i="34"/>
  <c r="AS51" i="34"/>
  <c r="AS40" i="34"/>
  <c r="AS17" i="34"/>
  <c r="AS4" i="34"/>
  <c r="AU54" i="34"/>
  <c r="AT10" i="34"/>
  <c r="AT34" i="34"/>
  <c r="AT9" i="34"/>
  <c r="AU59" i="34"/>
  <c r="AT16" i="34"/>
  <c r="AT21" i="34"/>
  <c r="AT8" i="34"/>
  <c r="AT3" i="34"/>
  <c r="AT6" i="34"/>
  <c r="AT31" i="34"/>
  <c r="AU45" i="34"/>
  <c r="AT41" i="34"/>
  <c r="AU34" i="34"/>
  <c r="AS15" i="34"/>
  <c r="AS19" i="34"/>
  <c r="AS13" i="34"/>
  <c r="AS48" i="34"/>
  <c r="AS12" i="34"/>
  <c r="AS60" i="34"/>
  <c r="AS34" i="34"/>
  <c r="AS9" i="34"/>
  <c r="AS32" i="34"/>
  <c r="AS30" i="34"/>
  <c r="AT45" i="34"/>
  <c r="AU26" i="34"/>
  <c r="AU52" i="34"/>
  <c r="AT27" i="34"/>
  <c r="AU2" i="34"/>
  <c r="AT35" i="34"/>
  <c r="AT2" i="34"/>
  <c r="AU56" i="34"/>
  <c r="AU23" i="34"/>
  <c r="AU24" i="34"/>
  <c r="AB2" i="34"/>
  <c r="AU25" i="34"/>
  <c r="AC2" i="34"/>
  <c r="AT25" i="34"/>
  <c r="AA2" i="34"/>
  <c r="AS25" i="34"/>
  <c r="U16" i="36"/>
  <c r="AB4" i="39"/>
  <c r="AD4" i="39"/>
  <c r="T21" i="36"/>
  <c r="T61" i="36"/>
  <c r="U40" i="36"/>
  <c r="T51" i="36"/>
  <c r="T10" i="36"/>
  <c r="U69" i="36"/>
  <c r="T26" i="36"/>
  <c r="T63" i="36"/>
  <c r="T32" i="36"/>
  <c r="T8" i="36"/>
  <c r="U49" i="36"/>
  <c r="T36" i="36"/>
  <c r="T35" i="36"/>
  <c r="U72" i="36"/>
  <c r="T19" i="36"/>
  <c r="T54" i="36"/>
  <c r="U27" i="36"/>
  <c r="T38" i="36"/>
  <c r="T37" i="36"/>
  <c r="T74" i="36"/>
  <c r="T77" i="36"/>
  <c r="U43" i="36"/>
  <c r="U73" i="36"/>
  <c r="U47" i="36"/>
  <c r="U45" i="36"/>
  <c r="T12" i="36"/>
  <c r="T41" i="36"/>
  <c r="T68" i="36"/>
  <c r="T29" i="36"/>
  <c r="T75" i="36"/>
  <c r="T20" i="36"/>
  <c r="T50" i="36"/>
  <c r="T52" i="36"/>
  <c r="T18" i="36"/>
  <c r="T48" i="36"/>
  <c r="T28" i="36"/>
  <c r="T25" i="36"/>
  <c r="T58" i="36"/>
  <c r="T53" i="36"/>
  <c r="T11" i="36"/>
  <c r="T14" i="36"/>
  <c r="T71" i="36"/>
  <c r="T16" i="36"/>
  <c r="U42" i="36"/>
  <c r="U39" i="36"/>
  <c r="U57" i="36"/>
  <c r="U76" i="36"/>
  <c r="U65" i="36"/>
  <c r="U59" i="36"/>
  <c r="U24" i="36"/>
  <c r="U30" i="36"/>
  <c r="U46" i="36"/>
  <c r="U70" i="36"/>
  <c r="U66" i="36"/>
  <c r="U67" i="36"/>
  <c r="U9" i="36"/>
  <c r="U22" i="36"/>
  <c r="U55" i="36"/>
  <c r="U33" i="36"/>
  <c r="U34" i="36"/>
  <c r="T13" i="36"/>
  <c r="T43" i="36"/>
  <c r="T40" i="36"/>
  <c r="T27" i="36"/>
  <c r="T49" i="36"/>
  <c r="T73" i="36"/>
  <c r="T45" i="36"/>
  <c r="T72" i="36"/>
  <c r="T69" i="36"/>
  <c r="T47" i="36"/>
  <c r="T44" i="36"/>
  <c r="T17" i="36"/>
  <c r="T56" i="36"/>
  <c r="T15" i="36"/>
  <c r="T23" i="36"/>
  <c r="T31" i="36"/>
  <c r="T64" i="36"/>
  <c r="T60" i="36"/>
  <c r="T62" i="36"/>
  <c r="U38" i="36"/>
  <c r="U37" i="36"/>
  <c r="U21" i="36"/>
  <c r="U19" i="36"/>
  <c r="U26" i="36"/>
  <c r="U36" i="36"/>
  <c r="U51" i="36"/>
  <c r="U63" i="36"/>
  <c r="U74" i="36"/>
  <c r="U61" i="36"/>
  <c r="U54" i="36"/>
  <c r="U32" i="36"/>
  <c r="U77" i="36"/>
  <c r="U35" i="36"/>
  <c r="U10" i="36"/>
  <c r="U8" i="36"/>
  <c r="U44" i="36"/>
  <c r="U17" i="36"/>
  <c r="U56" i="36"/>
  <c r="U15" i="36"/>
  <c r="U23" i="36"/>
  <c r="U31" i="36"/>
  <c r="U64" i="36"/>
  <c r="U60" i="36"/>
  <c r="U62" i="36"/>
  <c r="U13" i="36"/>
  <c r="T42" i="36"/>
  <c r="T39" i="36"/>
  <c r="T57" i="36"/>
  <c r="T76" i="36"/>
  <c r="T65" i="36"/>
  <c r="T59" i="36"/>
  <c r="T24" i="36"/>
  <c r="T30" i="36"/>
  <c r="T46" i="36"/>
  <c r="T70" i="36"/>
  <c r="T66" i="36"/>
  <c r="T67" i="36"/>
  <c r="T9" i="36"/>
  <c r="T22" i="36"/>
  <c r="T55" i="36"/>
  <c r="T33" i="36"/>
  <c r="T34" i="36"/>
  <c r="U12" i="36"/>
  <c r="U41" i="36"/>
  <c r="U68" i="36"/>
  <c r="U29" i="36"/>
  <c r="U75" i="36"/>
  <c r="U20" i="36"/>
  <c r="U50" i="36"/>
  <c r="U52" i="36"/>
  <c r="U18" i="36"/>
  <c r="U48" i="36"/>
  <c r="U28" i="36"/>
  <c r="U25" i="36"/>
  <c r="U58" i="36"/>
  <c r="U53" i="36"/>
  <c r="U11" i="36"/>
  <c r="U14" i="36"/>
  <c r="U71" i="36"/>
  <c r="O62" i="36"/>
  <c r="O16" i="36"/>
  <c r="O8" i="36"/>
  <c r="O34" i="36"/>
  <c r="O60" i="36"/>
  <c r="O71" i="36"/>
  <c r="O10" i="36"/>
  <c r="O33" i="36"/>
  <c r="O64" i="36"/>
  <c r="O14" i="36"/>
  <c r="O35" i="36"/>
  <c r="O55" i="36"/>
  <c r="O31" i="36"/>
  <c r="O11" i="36"/>
  <c r="O77" i="36"/>
  <c r="O22" i="36"/>
  <c r="O23" i="36"/>
  <c r="O53" i="36"/>
  <c r="O32" i="36"/>
  <c r="O9" i="36"/>
  <c r="O15" i="36"/>
  <c r="O58" i="36"/>
  <c r="O54" i="36"/>
  <c r="O67" i="36"/>
  <c r="O56" i="36"/>
  <c r="O25" i="36"/>
  <c r="O61" i="36"/>
  <c r="O66" i="36"/>
  <c r="O17" i="36"/>
  <c r="O28" i="36"/>
  <c r="O74" i="36"/>
  <c r="O70" i="36"/>
  <c r="O44" i="36"/>
  <c r="O48" i="36"/>
  <c r="O63" i="36"/>
  <c r="O46" i="36"/>
  <c r="O47" i="36"/>
  <c r="O18" i="36"/>
  <c r="O51" i="36"/>
  <c r="O30" i="36"/>
  <c r="O69" i="36"/>
  <c r="O52" i="36"/>
  <c r="O36" i="36"/>
  <c r="O24" i="36"/>
  <c r="O72" i="36"/>
  <c r="O50" i="36"/>
  <c r="O59" i="36"/>
  <c r="O45" i="36"/>
  <c r="O20" i="36"/>
  <c r="O26" i="36"/>
  <c r="O65" i="36"/>
  <c r="O73" i="36"/>
  <c r="O75" i="36"/>
  <c r="O19" i="36"/>
  <c r="O76" i="36"/>
  <c r="O49" i="36"/>
  <c r="O29" i="36"/>
  <c r="O21" i="36"/>
  <c r="O57" i="36"/>
  <c r="O27" i="36"/>
  <c r="O68" i="36"/>
  <c r="O37" i="36"/>
  <c r="O39" i="36"/>
  <c r="O40" i="36"/>
  <c r="O41" i="36"/>
  <c r="O38" i="36"/>
  <c r="O42" i="36"/>
  <c r="O43" i="36"/>
  <c r="O12" i="36"/>
  <c r="O13" i="36"/>
  <c r="I62" i="36"/>
  <c r="I16" i="36"/>
  <c r="I8" i="36"/>
  <c r="I34" i="36"/>
  <c r="I60" i="36"/>
  <c r="I71" i="36"/>
  <c r="I10" i="36"/>
  <c r="I33" i="36"/>
  <c r="I64" i="36"/>
  <c r="I14" i="36"/>
  <c r="I35" i="36"/>
  <c r="I55" i="36"/>
  <c r="I31" i="36"/>
  <c r="I11" i="36"/>
  <c r="I77" i="36"/>
  <c r="I22" i="36"/>
  <c r="I23" i="36"/>
  <c r="I53" i="36"/>
  <c r="I32" i="36"/>
  <c r="I9" i="36"/>
  <c r="I15" i="36"/>
  <c r="I58" i="36"/>
  <c r="I54" i="36"/>
  <c r="I67" i="36"/>
  <c r="I56" i="36"/>
  <c r="I25" i="36"/>
  <c r="I61" i="36"/>
  <c r="I66" i="36"/>
  <c r="I17" i="36"/>
  <c r="I28" i="36"/>
  <c r="I74" i="36"/>
  <c r="I70" i="36"/>
  <c r="I44" i="36"/>
  <c r="I48" i="36"/>
  <c r="I63" i="36"/>
  <c r="I46" i="36"/>
  <c r="I47" i="36"/>
  <c r="I18" i="36"/>
  <c r="I51" i="36"/>
  <c r="I30" i="36"/>
  <c r="I69" i="36"/>
  <c r="I52" i="36"/>
  <c r="I36" i="36"/>
  <c r="I24" i="36"/>
  <c r="I72" i="36"/>
  <c r="I50" i="36"/>
  <c r="I59" i="36"/>
  <c r="I45" i="36"/>
  <c r="I20" i="36"/>
  <c r="I26" i="36"/>
  <c r="I65" i="36"/>
  <c r="I73" i="36"/>
  <c r="I75" i="36"/>
  <c r="I19" i="36"/>
  <c r="I76" i="36"/>
  <c r="I49" i="36"/>
  <c r="I29" i="36"/>
  <c r="I21" i="36"/>
  <c r="I57" i="36"/>
  <c r="I27" i="36"/>
  <c r="I68" i="36"/>
  <c r="I37" i="36"/>
  <c r="I39" i="36"/>
  <c r="I40" i="36"/>
  <c r="I41" i="36"/>
  <c r="I38" i="36"/>
  <c r="I42" i="36"/>
  <c r="I43" i="36"/>
  <c r="I12" i="36"/>
  <c r="I13" i="36"/>
  <c r="H5" i="36"/>
  <c r="G5" i="36"/>
  <c r="F5" i="36"/>
  <c r="E5" i="36"/>
  <c r="H4" i="36"/>
  <c r="G4" i="36"/>
  <c r="F4" i="36"/>
  <c r="E4" i="36"/>
  <c r="H3" i="36"/>
  <c r="G3" i="36"/>
  <c r="F3" i="36"/>
  <c r="E3" i="36"/>
  <c r="H2" i="36"/>
  <c r="G2" i="36"/>
  <c r="F2" i="36"/>
  <c r="E2" i="36"/>
  <c r="H1" i="36"/>
  <c r="G1" i="36"/>
  <c r="F1" i="36"/>
  <c r="E1" i="36"/>
  <c r="P8" i="36" l="1"/>
  <c r="P10" i="36"/>
  <c r="P35" i="36"/>
  <c r="P77" i="36"/>
  <c r="P32" i="36"/>
  <c r="P54" i="36"/>
  <c r="P61" i="36"/>
  <c r="P74" i="36"/>
  <c r="P63" i="36"/>
  <c r="P51" i="36"/>
  <c r="P36" i="36"/>
  <c r="P26" i="36"/>
  <c r="P19" i="36"/>
  <c r="P21" i="36"/>
  <c r="P37" i="36"/>
  <c r="P38" i="36"/>
  <c r="P62" i="36"/>
  <c r="P71" i="36"/>
  <c r="P55" i="36"/>
  <c r="P23" i="36"/>
  <c r="P58" i="36"/>
  <c r="P66" i="36"/>
  <c r="P44" i="36"/>
  <c r="P18" i="36"/>
  <c r="P24" i="36"/>
  <c r="P45" i="36"/>
  <c r="P75" i="36"/>
  <c r="P57" i="36"/>
  <c r="P40" i="36"/>
  <c r="P12" i="36"/>
  <c r="P34" i="36"/>
  <c r="P64" i="36"/>
  <c r="P11" i="36"/>
  <c r="P9" i="36"/>
  <c r="P56" i="36"/>
  <c r="P28" i="36"/>
  <c r="P46" i="36"/>
  <c r="P69" i="36"/>
  <c r="P50" i="36"/>
  <c r="P65" i="36"/>
  <c r="P49" i="36"/>
  <c r="P68" i="36"/>
  <c r="P42" i="36"/>
  <c r="P13" i="36"/>
  <c r="P60" i="36"/>
  <c r="P14" i="36"/>
  <c r="P22" i="36"/>
  <c r="P15" i="36"/>
  <c r="P25" i="36"/>
  <c r="P70" i="36"/>
  <c r="P47" i="36"/>
  <c r="P52" i="36"/>
  <c r="P59" i="36"/>
  <c r="P73" i="36"/>
  <c r="P29" i="36"/>
  <c r="P39" i="36"/>
  <c r="P43" i="36"/>
  <c r="P53" i="36"/>
  <c r="P30" i="36"/>
  <c r="P27" i="36"/>
  <c r="P16" i="36"/>
  <c r="P72" i="36"/>
  <c r="P41" i="36"/>
  <c r="P20" i="36"/>
  <c r="P31" i="36"/>
  <c r="P76" i="36"/>
  <c r="P67" i="36"/>
  <c r="P33" i="36"/>
  <c r="P48" i="36"/>
  <c r="P17" i="36"/>
  <c r="Q62" i="36"/>
  <c r="Q60" i="36"/>
  <c r="Q64" i="36"/>
  <c r="Q31" i="36"/>
  <c r="Q23" i="36"/>
  <c r="Q15" i="36"/>
  <c r="Q56" i="36"/>
  <c r="Q17" i="36"/>
  <c r="Q44" i="36"/>
  <c r="Q47" i="36"/>
  <c r="Q69" i="36"/>
  <c r="Q72" i="36"/>
  <c r="Q45" i="36"/>
  <c r="Q73" i="36"/>
  <c r="Q49" i="36"/>
  <c r="Q27" i="36"/>
  <c r="Q40" i="36"/>
  <c r="Q43" i="36"/>
  <c r="Q71" i="36"/>
  <c r="Q11" i="36"/>
  <c r="Q53" i="36"/>
  <c r="Q16" i="36"/>
  <c r="Q14" i="36"/>
  <c r="Q58" i="36"/>
  <c r="Q10" i="36"/>
  <c r="Q77" i="36"/>
  <c r="Q54" i="36"/>
  <c r="Q66" i="36"/>
  <c r="Q48" i="36"/>
  <c r="Q51" i="36"/>
  <c r="Q24" i="36"/>
  <c r="Q20" i="36"/>
  <c r="Q19" i="36"/>
  <c r="Q57" i="36"/>
  <c r="Q41" i="36"/>
  <c r="Q8" i="36"/>
  <c r="Q35" i="36"/>
  <c r="Q32" i="36"/>
  <c r="Q25" i="36"/>
  <c r="Q74" i="36"/>
  <c r="Q46" i="36"/>
  <c r="Q52" i="36"/>
  <c r="Q65" i="36"/>
  <c r="Q29" i="36"/>
  <c r="Q37" i="36"/>
  <c r="Q42" i="36"/>
  <c r="Q34" i="36"/>
  <c r="Q55" i="36"/>
  <c r="Q9" i="36"/>
  <c r="Q61" i="36"/>
  <c r="Q70" i="36"/>
  <c r="Q18" i="36"/>
  <c r="Q36" i="36"/>
  <c r="Q59" i="36"/>
  <c r="Q75" i="36"/>
  <c r="Q21" i="36"/>
  <c r="Q39" i="36"/>
  <c r="Q12" i="36"/>
  <c r="Q67" i="36"/>
  <c r="Q50" i="36"/>
  <c r="Q38" i="36"/>
  <c r="Q28" i="36"/>
  <c r="Q26" i="36"/>
  <c r="Q13" i="36"/>
  <c r="Q76" i="36"/>
  <c r="Q22" i="36"/>
  <c r="Q33" i="36"/>
  <c r="Q30" i="36"/>
  <c r="Q63" i="36"/>
  <c r="Q68" i="36"/>
  <c r="R8" i="36"/>
  <c r="R10" i="36"/>
  <c r="R35" i="36"/>
  <c r="R77" i="36"/>
  <c r="R32" i="36"/>
  <c r="R54" i="36"/>
  <c r="R61" i="36"/>
  <c r="R74" i="36"/>
  <c r="R63" i="36"/>
  <c r="R51" i="36"/>
  <c r="R36" i="36"/>
  <c r="R26" i="36"/>
  <c r="R19" i="36"/>
  <c r="R21" i="36"/>
  <c r="R37" i="36"/>
  <c r="R38" i="36"/>
  <c r="R13" i="36"/>
  <c r="R34" i="36"/>
  <c r="R55" i="36"/>
  <c r="R9" i="36"/>
  <c r="R66" i="36"/>
  <c r="R46" i="36"/>
  <c r="R24" i="36"/>
  <c r="R65" i="36"/>
  <c r="R57" i="36"/>
  <c r="R42" i="36"/>
  <c r="R33" i="36"/>
  <c r="R22" i="36"/>
  <c r="R67" i="36"/>
  <c r="R70" i="36"/>
  <c r="R30" i="36"/>
  <c r="R59" i="36"/>
  <c r="R76" i="36"/>
  <c r="R39" i="36"/>
  <c r="R60" i="36"/>
  <c r="R31" i="36"/>
  <c r="R15" i="36"/>
  <c r="R17" i="36"/>
  <c r="R47" i="36"/>
  <c r="R72" i="36"/>
  <c r="R73" i="36"/>
  <c r="R27" i="36"/>
  <c r="R43" i="36"/>
  <c r="R62" i="36"/>
  <c r="R64" i="36"/>
  <c r="R23" i="36"/>
  <c r="R56" i="36"/>
  <c r="R44" i="36"/>
  <c r="R69" i="36"/>
  <c r="R45" i="36"/>
  <c r="R49" i="36"/>
  <c r="R40" i="36"/>
  <c r="R16" i="36"/>
  <c r="R14" i="36"/>
  <c r="R53" i="36"/>
  <c r="R25" i="36"/>
  <c r="R48" i="36"/>
  <c r="R52" i="36"/>
  <c r="R20" i="36"/>
  <c r="R29" i="36"/>
  <c r="R41" i="36"/>
  <c r="R71" i="36"/>
  <c r="R11" i="36"/>
  <c r="R28" i="36"/>
  <c r="R68" i="36"/>
  <c r="R18" i="36"/>
  <c r="R50" i="36"/>
  <c r="R12" i="36"/>
  <c r="R58" i="36"/>
  <c r="R75" i="36"/>
  <c r="S34" i="36"/>
  <c r="S33" i="36"/>
  <c r="S55" i="36"/>
  <c r="S22" i="36"/>
  <c r="S9" i="36"/>
  <c r="S67" i="36"/>
  <c r="S66" i="36"/>
  <c r="S70" i="36"/>
  <c r="S46" i="36"/>
  <c r="S30" i="36"/>
  <c r="S24" i="36"/>
  <c r="S59" i="36"/>
  <c r="S65" i="36"/>
  <c r="S76" i="36"/>
  <c r="S57" i="36"/>
  <c r="S62" i="36"/>
  <c r="S60" i="36"/>
  <c r="S64" i="36"/>
  <c r="S31" i="36"/>
  <c r="S23" i="36"/>
  <c r="S15" i="36"/>
  <c r="S56" i="36"/>
  <c r="S17" i="36"/>
  <c r="S44" i="36"/>
  <c r="S47" i="36"/>
  <c r="S69" i="36"/>
  <c r="S72" i="36"/>
  <c r="S45" i="36"/>
  <c r="S73" i="36"/>
  <c r="S49" i="36"/>
  <c r="S27" i="36"/>
  <c r="S40" i="36"/>
  <c r="S43" i="36"/>
  <c r="S29" i="36"/>
  <c r="S16" i="36"/>
  <c r="S71" i="36"/>
  <c r="S14" i="36"/>
  <c r="S11" i="36"/>
  <c r="S53" i="36"/>
  <c r="S58" i="36"/>
  <c r="S25" i="36"/>
  <c r="S28" i="36"/>
  <c r="S48" i="36"/>
  <c r="S18" i="36"/>
  <c r="S52" i="36"/>
  <c r="S50" i="36"/>
  <c r="S20" i="36"/>
  <c r="S75" i="36"/>
  <c r="S68" i="36"/>
  <c r="S41" i="36"/>
  <c r="S12" i="36"/>
  <c r="S10" i="36"/>
  <c r="S54" i="36"/>
  <c r="S51" i="36"/>
  <c r="S19" i="36"/>
  <c r="S38" i="36"/>
  <c r="S13" i="36"/>
  <c r="S77" i="36"/>
  <c r="S74" i="36"/>
  <c r="S37" i="36"/>
  <c r="S8" i="36"/>
  <c r="S32" i="36"/>
  <c r="S63" i="36"/>
  <c r="S26" i="36"/>
  <c r="S39" i="36"/>
  <c r="S35" i="36"/>
  <c r="S61" i="36"/>
  <c r="S36" i="36"/>
  <c r="S21" i="36"/>
  <c r="S42" i="36"/>
  <c r="I29" i="29"/>
  <c r="O29" i="29"/>
  <c r="B30" i="34" l="1"/>
  <c r="G30" i="34" l="1"/>
  <c r="C30" i="34"/>
  <c r="I30" i="34"/>
  <c r="E30" i="34"/>
  <c r="H30" i="34"/>
  <c r="J30" i="34"/>
  <c r="F30" i="34"/>
  <c r="D30" i="34"/>
  <c r="AB55" i="38" l="1"/>
  <c r="AK46" i="12" s="1"/>
  <c r="AB64" i="38"/>
  <c r="AK38" i="12" s="1"/>
  <c r="AB28" i="38"/>
  <c r="AK17" i="12" s="1"/>
  <c r="AB15" i="38"/>
  <c r="AK50" i="12" s="1"/>
  <c r="AB2" i="38"/>
  <c r="AK56" i="12" s="1"/>
  <c r="AB60" i="38"/>
  <c r="AK41" i="12" s="1"/>
  <c r="AB59" i="38"/>
  <c r="AK11" i="12" s="1"/>
  <c r="AB63" i="38"/>
  <c r="AK25" i="12" s="1"/>
  <c r="AB39" i="38"/>
  <c r="AK8" i="12" s="1"/>
  <c r="AB44" i="38"/>
  <c r="AB45" i="38"/>
  <c r="AB43" i="38"/>
  <c r="AK44" i="12" s="1"/>
  <c r="AB19" i="38"/>
  <c r="AK39" i="12" s="1"/>
  <c r="AB12" i="38"/>
  <c r="AK19" i="12" s="1"/>
  <c r="AB14" i="38"/>
  <c r="AK67" i="12" s="1"/>
  <c r="AB32" i="38"/>
  <c r="AK10" i="12" s="1"/>
  <c r="AB35" i="38"/>
  <c r="AK16" i="12" s="1"/>
  <c r="Y55" i="38"/>
  <c r="AH46" i="12" s="1"/>
  <c r="Y64" i="38"/>
  <c r="AH38" i="12" s="1"/>
  <c r="Y28" i="38"/>
  <c r="AH17" i="12" s="1"/>
  <c r="Y15" i="38"/>
  <c r="AH50" i="12" s="1"/>
  <c r="Y2" i="38"/>
  <c r="AH56" i="12" s="1"/>
  <c r="Y60" i="38"/>
  <c r="AH41" i="12" s="1"/>
  <c r="Y59" i="38"/>
  <c r="AH11" i="12" s="1"/>
  <c r="Y63" i="38"/>
  <c r="AH25" i="12" s="1"/>
  <c r="Y39" i="38"/>
  <c r="AH8" i="12" s="1"/>
  <c r="Y44" i="38"/>
  <c r="AH69" i="12" s="1"/>
  <c r="Y45" i="38"/>
  <c r="AH70" i="12" s="1"/>
  <c r="Y43" i="38"/>
  <c r="AH44" i="12" s="1"/>
  <c r="Y19" i="38"/>
  <c r="AH39" i="12" s="1"/>
  <c r="Y12" i="38"/>
  <c r="AH19" i="12" s="1"/>
  <c r="Y14" i="38"/>
  <c r="AH67" i="12" s="1"/>
  <c r="Y32" i="38"/>
  <c r="AH10" i="12" s="1"/>
  <c r="Y35" i="38"/>
  <c r="AH16" i="12" s="1"/>
  <c r="AB6" i="38"/>
  <c r="AK28" i="12" s="1"/>
  <c r="AB70" i="38"/>
  <c r="AK2" i="12" s="1"/>
  <c r="AB27" i="38"/>
  <c r="AK66" i="12" s="1"/>
  <c r="AB68" i="38"/>
  <c r="AK14" i="12" s="1"/>
  <c r="Y53" i="38"/>
  <c r="AH63" i="12" s="1"/>
  <c r="Y24" i="38"/>
  <c r="AH55" i="12" s="1"/>
  <c r="Y67" i="38"/>
  <c r="AH43" i="12" s="1"/>
  <c r="Y58" i="38"/>
  <c r="AH9" i="12" s="1"/>
  <c r="Y68" i="38"/>
  <c r="AH14" i="12" s="1"/>
  <c r="Y31" i="38"/>
  <c r="AH40" i="12" s="1"/>
  <c r="AB9" i="38"/>
  <c r="AK22" i="12" s="1"/>
  <c r="AB3" i="38"/>
  <c r="AK21" i="12" s="1"/>
  <c r="AB48" i="38"/>
  <c r="AK58" i="12" s="1"/>
  <c r="AB16" i="38"/>
  <c r="AK4" i="12" s="1"/>
  <c r="AB8" i="38"/>
  <c r="AK61" i="12" s="1"/>
  <c r="AB49" i="38"/>
  <c r="AK59" i="12" s="1"/>
  <c r="AB10" i="38"/>
  <c r="AK48" i="12" s="1"/>
  <c r="AB37" i="38"/>
  <c r="AK6" i="12" s="1"/>
  <c r="AB40" i="38"/>
  <c r="AK52" i="12" s="1"/>
  <c r="AB23" i="38"/>
  <c r="AK35" i="12" s="1"/>
  <c r="AB29" i="38"/>
  <c r="AK36" i="12" s="1"/>
  <c r="AB52" i="38"/>
  <c r="AK34" i="12" s="1"/>
  <c r="AB57" i="38"/>
  <c r="AK65" i="12" s="1"/>
  <c r="AB69" i="38"/>
  <c r="AK12" i="12" s="1"/>
  <c r="AB50" i="38"/>
  <c r="AK24" i="12" s="1"/>
  <c r="AB33" i="38"/>
  <c r="AK54" i="12" s="1"/>
  <c r="AB36" i="38"/>
  <c r="AK32" i="12" s="1"/>
  <c r="Y9" i="38"/>
  <c r="AH22" i="12" s="1"/>
  <c r="Y3" i="38"/>
  <c r="AH21" i="12" s="1"/>
  <c r="Y48" i="38"/>
  <c r="AH58" i="12" s="1"/>
  <c r="Y16" i="38"/>
  <c r="AH4" i="12" s="1"/>
  <c r="Y8" i="38"/>
  <c r="AH61" i="12" s="1"/>
  <c r="Y49" i="38"/>
  <c r="AH59" i="12" s="1"/>
  <c r="Y10" i="38"/>
  <c r="AH48" i="12" s="1"/>
  <c r="Y37" i="38"/>
  <c r="AH6" i="12" s="1"/>
  <c r="Y40" i="38"/>
  <c r="AH52" i="12" s="1"/>
  <c r="Y23" i="38"/>
  <c r="AH35" i="12" s="1"/>
  <c r="Y29" i="38"/>
  <c r="AH36" i="12" s="1"/>
  <c r="Y52" i="38"/>
  <c r="AH34" i="12" s="1"/>
  <c r="Y57" i="38"/>
  <c r="AH65" i="12" s="1"/>
  <c r="Y69" i="38"/>
  <c r="AH12" i="12" s="1"/>
  <c r="Y50" i="38"/>
  <c r="AH24" i="12" s="1"/>
  <c r="Y33" i="38"/>
  <c r="AH54" i="12" s="1"/>
  <c r="Y36" i="38"/>
  <c r="AH32" i="12" s="1"/>
  <c r="Y6" i="38"/>
  <c r="AH28" i="12" s="1"/>
  <c r="AB7" i="38"/>
  <c r="AK29" i="12" s="1"/>
  <c r="AB47" i="38"/>
  <c r="AK33" i="12" s="1"/>
  <c r="AB54" i="38"/>
  <c r="AK15" i="12" s="1"/>
  <c r="AB56" i="38"/>
  <c r="AK45" i="12" s="1"/>
  <c r="AB65" i="38"/>
  <c r="AK7" i="12" s="1"/>
  <c r="AB22" i="38"/>
  <c r="AK62" i="12" s="1"/>
  <c r="AB31" i="38"/>
  <c r="AK40" i="12" s="1"/>
  <c r="Y7" i="38"/>
  <c r="AH29" i="12" s="1"/>
  <c r="Y47" i="38"/>
  <c r="AH33" i="12" s="1"/>
  <c r="Y56" i="38"/>
  <c r="AH45" i="12" s="1"/>
  <c r="Y65" i="38"/>
  <c r="AH7" i="12" s="1"/>
  <c r="Y61" i="38"/>
  <c r="AH5" i="12" s="1"/>
  <c r="AB26" i="38"/>
  <c r="AK64" i="12" s="1"/>
  <c r="AB25" i="38"/>
  <c r="AK3" i="12" s="1"/>
  <c r="AB4" i="38"/>
  <c r="AK51" i="12" s="1"/>
  <c r="AB46" i="38"/>
  <c r="AK23" i="12" s="1"/>
  <c r="AB51" i="38"/>
  <c r="AK37" i="12" s="1"/>
  <c r="AB18" i="38"/>
  <c r="AK57" i="12" s="1"/>
  <c r="AB21" i="38"/>
  <c r="AK49" i="12" s="1"/>
  <c r="AB41" i="38"/>
  <c r="AK53" i="12" s="1"/>
  <c r="AB11" i="38"/>
  <c r="AK20" i="12" s="1"/>
  <c r="AB62" i="38"/>
  <c r="AK26" i="12" s="1"/>
  <c r="AB17" i="38"/>
  <c r="AK31" i="12" s="1"/>
  <c r="AB38" i="38"/>
  <c r="AK18" i="12" s="1"/>
  <c r="AB66" i="38"/>
  <c r="AK27" i="12" s="1"/>
  <c r="AB42" i="38"/>
  <c r="AK30" i="12" s="1"/>
  <c r="AB20" i="38"/>
  <c r="AK47" i="12" s="1"/>
  <c r="AB34" i="38"/>
  <c r="AK42" i="12" s="1"/>
  <c r="AB30" i="38"/>
  <c r="AK68" i="12" s="1"/>
  <c r="Y26" i="38"/>
  <c r="AH64" i="12" s="1"/>
  <c r="Y25" i="38"/>
  <c r="AH3" i="12" s="1"/>
  <c r="Y4" i="38"/>
  <c r="AH51" i="12" s="1"/>
  <c r="Y46" i="38"/>
  <c r="AH23" i="12" s="1"/>
  <c r="Y51" i="38"/>
  <c r="AH37" i="12" s="1"/>
  <c r="Y18" i="38"/>
  <c r="AH57" i="12" s="1"/>
  <c r="Y21" i="38"/>
  <c r="AH49" i="12" s="1"/>
  <c r="Y41" i="38"/>
  <c r="AH53" i="12" s="1"/>
  <c r="Y11" i="38"/>
  <c r="AH20" i="12" s="1"/>
  <c r="Y62" i="38"/>
  <c r="AH26" i="12" s="1"/>
  <c r="Y17" i="38"/>
  <c r="AH31" i="12" s="1"/>
  <c r="Y38" i="38"/>
  <c r="AH18" i="12" s="1"/>
  <c r="Y66" i="38"/>
  <c r="AH27" i="12" s="1"/>
  <c r="Y42" i="38"/>
  <c r="AH30" i="12" s="1"/>
  <c r="Y20" i="38"/>
  <c r="AH47" i="12" s="1"/>
  <c r="Y34" i="38"/>
  <c r="AH42" i="12" s="1"/>
  <c r="Y30" i="38"/>
  <c r="AH68" i="12" s="1"/>
  <c r="AB53" i="38"/>
  <c r="AK63" i="12" s="1"/>
  <c r="AB24" i="38"/>
  <c r="AK55" i="12" s="1"/>
  <c r="AB67" i="38"/>
  <c r="AK43" i="12" s="1"/>
  <c r="AB58" i="38"/>
  <c r="AK9" i="12" s="1"/>
  <c r="AB13" i="38"/>
  <c r="AK13" i="12" s="1"/>
  <c r="AB61" i="38"/>
  <c r="AK5" i="12" s="1"/>
  <c r="AB5" i="38"/>
  <c r="AK60" i="12" s="1"/>
  <c r="Y70" i="38"/>
  <c r="AH2" i="12" s="1"/>
  <c r="Y54" i="38"/>
  <c r="AH15" i="12" s="1"/>
  <c r="Y27" i="38"/>
  <c r="AH66" i="12" s="1"/>
  <c r="Y13" i="38"/>
  <c r="AH13" i="12" s="1"/>
  <c r="Y22" i="38"/>
  <c r="AH62" i="12" s="1"/>
  <c r="Y5" i="38"/>
  <c r="AH60" i="12" s="1"/>
  <c r="Z19" i="38"/>
  <c r="AI39" i="12" s="1"/>
  <c r="Z2" i="38"/>
  <c r="AI56" i="12" s="1"/>
  <c r="AA50" i="38"/>
  <c r="AJ24" i="12" s="1"/>
  <c r="AA10" i="38"/>
  <c r="AJ48" i="12" s="1"/>
  <c r="Z22" i="38"/>
  <c r="AI62" i="12" s="1"/>
  <c r="Z67" i="38"/>
  <c r="AI43" i="12" s="1"/>
  <c r="Z12" i="38"/>
  <c r="AI19" i="12" s="1"/>
  <c r="Z60" i="38"/>
  <c r="AI41" i="12" s="1"/>
  <c r="AA69" i="38"/>
  <c r="AJ12" i="12" s="1"/>
  <c r="AA49" i="38"/>
  <c r="AJ59" i="12" s="1"/>
  <c r="Z61" i="38"/>
  <c r="AI5" i="12" s="1"/>
  <c r="Z54" i="38"/>
  <c r="AI15" i="12" s="1"/>
  <c r="AA6" i="38"/>
  <c r="AJ28" i="12" s="1"/>
  <c r="AA32" i="38"/>
  <c r="AJ10" i="12" s="1"/>
  <c r="AA43" i="38"/>
  <c r="AJ44" i="12" s="1"/>
  <c r="AA63" i="38"/>
  <c r="AJ25" i="12" s="1"/>
  <c r="AA15" i="38"/>
  <c r="AJ50" i="12" s="1"/>
  <c r="Z30" i="38"/>
  <c r="AI68" i="12" s="1"/>
  <c r="Z66" i="38"/>
  <c r="AI27" i="12" s="1"/>
  <c r="Z11" i="38"/>
  <c r="AI20" i="12" s="1"/>
  <c r="Z51" i="38"/>
  <c r="AI37" i="12" s="1"/>
  <c r="Z26" i="38"/>
  <c r="AI64" i="12" s="1"/>
  <c r="AA22" i="38"/>
  <c r="AJ62" i="12" s="1"/>
  <c r="AA58" i="38"/>
  <c r="AJ9" i="12" s="1"/>
  <c r="AA54" i="38"/>
  <c r="AJ15" i="12" s="1"/>
  <c r="AA7" i="38"/>
  <c r="AJ29" i="12" s="1"/>
  <c r="Z50" i="38"/>
  <c r="AI24" i="12" s="1"/>
  <c r="Z29" i="38"/>
  <c r="AI36" i="12" s="1"/>
  <c r="Z10" i="38"/>
  <c r="AI48" i="12" s="1"/>
  <c r="Z48" i="38"/>
  <c r="AI58" i="12" s="1"/>
  <c r="AA34" i="38"/>
  <c r="AJ42" i="12" s="1"/>
  <c r="AA38" i="38"/>
  <c r="AJ18" i="12" s="1"/>
  <c r="AA41" i="38"/>
  <c r="AJ53" i="12" s="1"/>
  <c r="AA46" i="38"/>
  <c r="AJ23" i="12" s="1"/>
  <c r="Z39" i="38"/>
  <c r="AI8" i="12" s="1"/>
  <c r="Z64" i="38"/>
  <c r="AI38" i="12" s="1"/>
  <c r="AA3" i="38"/>
  <c r="AJ21" i="12" s="1"/>
  <c r="Z44" i="38"/>
  <c r="AI69" i="12" s="1"/>
  <c r="AA23" i="38"/>
  <c r="AJ35" i="12" s="1"/>
  <c r="Z58" i="38"/>
  <c r="AI9" i="12" s="1"/>
  <c r="Z7" i="38"/>
  <c r="AI29" i="12" s="1"/>
  <c r="AA44" i="38"/>
  <c r="AJ69" i="12" s="1"/>
  <c r="AA64" i="38"/>
  <c r="AJ38" i="12" s="1"/>
  <c r="Z17" i="38"/>
  <c r="AI31" i="12" s="1"/>
  <c r="Z4" i="38"/>
  <c r="AI51" i="12" s="1"/>
  <c r="AA13" i="38"/>
  <c r="AJ13" i="12" s="1"/>
  <c r="AA24" i="38"/>
  <c r="AJ55" i="12" s="1"/>
  <c r="Z57" i="38"/>
  <c r="AI65" i="12" s="1"/>
  <c r="Z8" i="38"/>
  <c r="AI61" i="12" s="1"/>
  <c r="AA42" i="38"/>
  <c r="AJ30" i="12" s="1"/>
  <c r="AA18" i="38"/>
  <c r="AJ57" i="12" s="1"/>
  <c r="Z59" i="38"/>
  <c r="AI11" i="12" s="1"/>
  <c r="AA36" i="38"/>
  <c r="AJ32" i="12" s="1"/>
  <c r="Z31" i="38"/>
  <c r="AI40" i="12" s="1"/>
  <c r="Z32" i="38"/>
  <c r="AI10" i="12" s="1"/>
  <c r="AA33" i="38"/>
  <c r="AJ54" i="12" s="1"/>
  <c r="Z5" i="38"/>
  <c r="AI60" i="12" s="1"/>
  <c r="Z70" i="38"/>
  <c r="AI2" i="12" s="1"/>
  <c r="AA19" i="38"/>
  <c r="AJ39" i="12" s="1"/>
  <c r="AA2" i="38"/>
  <c r="AJ56" i="12" s="1"/>
  <c r="Z42" i="38"/>
  <c r="AI30" i="12" s="1"/>
  <c r="Z18" i="38"/>
  <c r="AI57" i="12" s="1"/>
  <c r="AA61" i="38"/>
  <c r="AJ5" i="12" s="1"/>
  <c r="AA67" i="38"/>
  <c r="AJ43" i="12" s="1"/>
  <c r="Z33" i="38"/>
  <c r="AI54" i="12" s="1"/>
  <c r="Z37" i="38"/>
  <c r="AI6" i="12" s="1"/>
  <c r="AA30" i="38"/>
  <c r="AJ68" i="12" s="1"/>
  <c r="AA11" i="38"/>
  <c r="AJ20" i="12" s="1"/>
  <c r="AA26" i="38"/>
  <c r="AJ64" i="12" s="1"/>
  <c r="Z45" i="38"/>
  <c r="AI70" i="12" s="1"/>
  <c r="Z28" i="38"/>
  <c r="AI17" i="12" s="1"/>
  <c r="AA57" i="38"/>
  <c r="AJ65" i="12" s="1"/>
  <c r="AA8" i="38"/>
  <c r="AJ61" i="12" s="1"/>
  <c r="Z13" i="38"/>
  <c r="AI13" i="12" s="1"/>
  <c r="Z53" i="38"/>
  <c r="AI63" i="12" s="1"/>
  <c r="Z43" i="38"/>
  <c r="AI44" i="12" s="1"/>
  <c r="Z15" i="38"/>
  <c r="AI50" i="12" s="1"/>
  <c r="AA52" i="38"/>
  <c r="AJ34" i="12" s="1"/>
  <c r="AA16" i="38"/>
  <c r="AJ4" i="12" s="1"/>
  <c r="Z68" i="38"/>
  <c r="AI14" i="12" s="1"/>
  <c r="Z47" i="38"/>
  <c r="AI33" i="12" s="1"/>
  <c r="AA9" i="38"/>
  <c r="AJ22" i="12" s="1"/>
  <c r="AA14" i="38"/>
  <c r="AJ67" i="12" s="1"/>
  <c r="AA45" i="38"/>
  <c r="AJ70" i="12" s="1"/>
  <c r="AA59" i="38"/>
  <c r="AJ11" i="12" s="1"/>
  <c r="AA28" i="38"/>
  <c r="AJ17" i="12" s="1"/>
  <c r="Z34" i="38"/>
  <c r="AI42" i="12" s="1"/>
  <c r="Z38" i="38"/>
  <c r="AI18" i="12" s="1"/>
  <c r="Z41" i="38"/>
  <c r="AI53" i="12" s="1"/>
  <c r="Z46" i="38"/>
  <c r="AI23" i="12" s="1"/>
  <c r="AA5" i="38"/>
  <c r="AJ60" i="12" s="1"/>
  <c r="AA68" i="38"/>
  <c r="AJ14" i="12" s="1"/>
  <c r="AA27" i="38"/>
  <c r="AJ66" i="12" s="1"/>
  <c r="AA47" i="38"/>
  <c r="AJ33" i="12" s="1"/>
  <c r="AA53" i="38"/>
  <c r="AJ63" i="12" s="1"/>
  <c r="Z69" i="38"/>
  <c r="AI12" i="12" s="1"/>
  <c r="Z23" i="38"/>
  <c r="AI35" i="12" s="1"/>
  <c r="Z49" i="38"/>
  <c r="AI59" i="12" s="1"/>
  <c r="Z3" i="38"/>
  <c r="AI21" i="12" s="1"/>
  <c r="AA20" i="38"/>
  <c r="AJ47" i="12" s="1"/>
  <c r="AA17" i="38"/>
  <c r="AJ31" i="12" s="1"/>
  <c r="AA21" i="38"/>
  <c r="AJ49" i="12" s="1"/>
  <c r="AA4" i="38"/>
  <c r="AJ51" i="12" s="1"/>
  <c r="Z35" i="38"/>
  <c r="AI16" i="12" s="1"/>
  <c r="AA29" i="38"/>
  <c r="AJ36" i="12" s="1"/>
  <c r="Z65" i="38"/>
  <c r="AI7" i="12" s="1"/>
  <c r="Z6" i="38"/>
  <c r="AI28" i="12" s="1"/>
  <c r="Z55" i="38"/>
  <c r="AI46" i="12" s="1"/>
  <c r="AA48" i="38"/>
  <c r="AJ58" i="12" s="1"/>
  <c r="Z24" i="38"/>
  <c r="AI55" i="12" s="1"/>
  <c r="AA12" i="38"/>
  <c r="AJ19" i="12" s="1"/>
  <c r="AA60" i="38"/>
  <c r="AJ41" i="12" s="1"/>
  <c r="Z20" i="38"/>
  <c r="AI47" i="12" s="1"/>
  <c r="Z21" i="38"/>
  <c r="AI49" i="12" s="1"/>
  <c r="AA31" i="38"/>
  <c r="AJ40" i="12" s="1"/>
  <c r="AA56" i="38"/>
  <c r="AJ45" i="12" s="1"/>
  <c r="Z36" i="38"/>
  <c r="AI32" i="12" s="1"/>
  <c r="Z40" i="38"/>
  <c r="AI52" i="12" s="1"/>
  <c r="Z9" i="38"/>
  <c r="AI22" i="12" s="1"/>
  <c r="AA62" i="38"/>
  <c r="AJ26" i="12" s="1"/>
  <c r="AA25" i="38"/>
  <c r="AJ3" i="12" s="1"/>
  <c r="Z14" i="38"/>
  <c r="AI67" i="12" s="1"/>
  <c r="AA40" i="38"/>
  <c r="AJ52" i="12" s="1"/>
  <c r="Z27" i="38"/>
  <c r="AI66" i="12" s="1"/>
  <c r="Z63" i="38"/>
  <c r="AI25" i="12" s="1"/>
  <c r="AA37" i="38"/>
  <c r="AJ6" i="12" s="1"/>
  <c r="Z56" i="38"/>
  <c r="AI45" i="12" s="1"/>
  <c r="AA35" i="38"/>
  <c r="AJ16" i="12" s="1"/>
  <c r="AA39" i="38"/>
  <c r="AJ8" i="12" s="1"/>
  <c r="AA55" i="38"/>
  <c r="AJ46" i="12" s="1"/>
  <c r="Z62" i="38"/>
  <c r="AI26" i="12" s="1"/>
  <c r="Z25" i="38"/>
  <c r="AI3" i="12" s="1"/>
  <c r="AA65" i="38"/>
  <c r="AJ7" i="12" s="1"/>
  <c r="AA70" i="38"/>
  <c r="AJ2" i="12" s="1"/>
  <c r="Z52" i="38"/>
  <c r="AI34" i="12" s="1"/>
  <c r="Z16" i="38"/>
  <c r="AI4" i="12" s="1"/>
  <c r="AA66" i="38"/>
  <c r="AJ27" i="12" s="1"/>
  <c r="AA51" i="38"/>
  <c r="AJ37" i="12" s="1"/>
  <c r="Q33" i="25"/>
  <c r="Y61" i="31" l="1"/>
  <c r="Y10" i="31"/>
  <c r="Y14" i="31"/>
  <c r="Y18" i="31"/>
  <c r="Y22" i="31"/>
  <c r="Y26" i="31"/>
  <c r="Y30" i="31"/>
  <c r="Y34" i="31"/>
  <c r="Y38" i="31"/>
  <c r="Y42" i="31"/>
  <c r="Y46" i="31"/>
  <c r="Y50" i="31"/>
  <c r="Y54" i="31"/>
  <c r="Y58" i="31"/>
  <c r="Y62" i="31"/>
  <c r="Y66" i="31"/>
  <c r="Y70" i="31"/>
  <c r="Y74" i="31"/>
  <c r="Y12" i="31"/>
  <c r="Y24" i="31"/>
  <c r="Y32" i="31"/>
  <c r="Y40" i="31"/>
  <c r="Y48" i="31"/>
  <c r="Y56" i="31"/>
  <c r="Y64" i="31"/>
  <c r="Y72" i="31"/>
  <c r="Y9" i="31"/>
  <c r="Y17" i="31"/>
  <c r="Y25" i="31"/>
  <c r="Y33" i="31"/>
  <c r="Y41" i="31"/>
  <c r="Y53" i="31"/>
  <c r="Y65" i="31"/>
  <c r="Y73" i="31"/>
  <c r="Y11" i="31"/>
  <c r="Y15" i="31"/>
  <c r="Y19" i="31"/>
  <c r="Y23" i="31"/>
  <c r="Y27" i="31"/>
  <c r="Y31" i="31"/>
  <c r="Y35" i="31"/>
  <c r="Y39" i="31"/>
  <c r="Y43" i="31"/>
  <c r="Y47" i="31"/>
  <c r="Y51" i="31"/>
  <c r="Y55" i="31"/>
  <c r="Y59" i="31"/>
  <c r="Y63" i="31"/>
  <c r="Y67" i="31"/>
  <c r="Y71" i="31"/>
  <c r="Y16" i="31"/>
  <c r="Y20" i="31"/>
  <c r="Y28" i="31"/>
  <c r="Y36" i="31"/>
  <c r="Y44" i="31"/>
  <c r="Y52" i="31"/>
  <c r="Y60" i="31"/>
  <c r="Y68" i="31"/>
  <c r="Y13" i="31"/>
  <c r="Y21" i="31"/>
  <c r="Y29" i="31"/>
  <c r="Y37" i="31"/>
  <c r="Y45" i="31"/>
  <c r="Y49" i="31"/>
  <c r="Y57" i="31"/>
  <c r="Y69" i="31"/>
  <c r="Y8" i="31"/>
  <c r="AB4" i="25" s="1"/>
  <c r="X12" i="31"/>
  <c r="X16" i="31"/>
  <c r="X20" i="31"/>
  <c r="X24" i="31"/>
  <c r="X28" i="31"/>
  <c r="X32" i="31"/>
  <c r="X36" i="31"/>
  <c r="X40" i="31"/>
  <c r="X44" i="31"/>
  <c r="X48" i="31"/>
  <c r="X52" i="31"/>
  <c r="X56" i="31"/>
  <c r="X60" i="31"/>
  <c r="X64" i="31"/>
  <c r="X68" i="31"/>
  <c r="X72" i="31"/>
  <c r="X23" i="31"/>
  <c r="X35" i="31"/>
  <c r="X47" i="31"/>
  <c r="X59" i="31"/>
  <c r="X9" i="31"/>
  <c r="X13" i="31"/>
  <c r="X17" i="31"/>
  <c r="X21" i="31"/>
  <c r="X25" i="31"/>
  <c r="X29" i="31"/>
  <c r="X33" i="31"/>
  <c r="X37" i="31"/>
  <c r="X41" i="31"/>
  <c r="X45" i="31"/>
  <c r="X49" i="31"/>
  <c r="X53" i="31"/>
  <c r="X57" i="31"/>
  <c r="X61" i="31"/>
  <c r="X65" i="31"/>
  <c r="X69" i="31"/>
  <c r="X73" i="31"/>
  <c r="X8" i="31"/>
  <c r="AD4" i="25" s="1"/>
  <c r="X70" i="31"/>
  <c r="X11" i="31"/>
  <c r="X27" i="31"/>
  <c r="X39" i="31"/>
  <c r="X55" i="31"/>
  <c r="X63" i="31"/>
  <c r="X71" i="31"/>
  <c r="X10" i="31"/>
  <c r="X14" i="31"/>
  <c r="X18" i="31"/>
  <c r="X22" i="31"/>
  <c r="X26" i="31"/>
  <c r="X30" i="31"/>
  <c r="X34" i="31"/>
  <c r="X38" i="31"/>
  <c r="X42" i="31"/>
  <c r="X46" i="31"/>
  <c r="X50" i="31"/>
  <c r="X54" i="31"/>
  <c r="X58" i="31"/>
  <c r="X62" i="31"/>
  <c r="X66" i="31"/>
  <c r="X74" i="31"/>
  <c r="X15" i="31"/>
  <c r="X19" i="31"/>
  <c r="X31" i="31"/>
  <c r="X43" i="31"/>
  <c r="X51" i="31"/>
  <c r="X67" i="31"/>
  <c r="AD9" i="31" l="1"/>
  <c r="AI9" i="31" s="1"/>
  <c r="AD10" i="31"/>
  <c r="AI10" i="31" s="1"/>
  <c r="AD11" i="31"/>
  <c r="AI11" i="31" s="1"/>
  <c r="AD12" i="31"/>
  <c r="AI12" i="31" s="1"/>
  <c r="AD13" i="31"/>
  <c r="AI13" i="31" s="1"/>
  <c r="AD14" i="31"/>
  <c r="AI14" i="31" s="1"/>
  <c r="AD15" i="31"/>
  <c r="AI15" i="31" s="1"/>
  <c r="AD16" i="31"/>
  <c r="AI16" i="31" s="1"/>
  <c r="AD17" i="31"/>
  <c r="AI17" i="31" s="1"/>
  <c r="AD18" i="31"/>
  <c r="AI18" i="31" s="1"/>
  <c r="AD19" i="31"/>
  <c r="AI19" i="31" s="1"/>
  <c r="AD20" i="31"/>
  <c r="AI20" i="31" s="1"/>
  <c r="AD21" i="31"/>
  <c r="AI21" i="31" s="1"/>
  <c r="AD22" i="31"/>
  <c r="AI22" i="31" s="1"/>
  <c r="AI33" i="25" s="1"/>
  <c r="AD23" i="31"/>
  <c r="AI23" i="31" s="1"/>
  <c r="AD24" i="31"/>
  <c r="AI24" i="31" s="1"/>
  <c r="AI15" i="25" s="1"/>
  <c r="AD25" i="31"/>
  <c r="AI25" i="31" s="1"/>
  <c r="AD26" i="31"/>
  <c r="AI26" i="31" s="1"/>
  <c r="AD27" i="31"/>
  <c r="AI27" i="31" s="1"/>
  <c r="AD28" i="31"/>
  <c r="AI28" i="31" s="1"/>
  <c r="AD29" i="31"/>
  <c r="AI29" i="31" s="1"/>
  <c r="AD30" i="31"/>
  <c r="AI30" i="31" s="1"/>
  <c r="AD31" i="31"/>
  <c r="AI31" i="31" s="1"/>
  <c r="AD32" i="31"/>
  <c r="AI32" i="31" s="1"/>
  <c r="AI49" i="25" s="1"/>
  <c r="AD33" i="31"/>
  <c r="AI33" i="31" s="1"/>
  <c r="AD34" i="31"/>
  <c r="AI34" i="31" s="1"/>
  <c r="AD35" i="31"/>
  <c r="AI35" i="31" s="1"/>
  <c r="AD36" i="31"/>
  <c r="AI36" i="31" s="1"/>
  <c r="AD37" i="31"/>
  <c r="AI37" i="31" s="1"/>
  <c r="AD38" i="31"/>
  <c r="AI38" i="31" s="1"/>
  <c r="AD39" i="31"/>
  <c r="AI39" i="31" s="1"/>
  <c r="AD40" i="31"/>
  <c r="AI40" i="31" s="1"/>
  <c r="AI9" i="25" s="1"/>
  <c r="AD41" i="31"/>
  <c r="AI41" i="31" s="1"/>
  <c r="AD42" i="31"/>
  <c r="AI42" i="31" s="1"/>
  <c r="AD43" i="31"/>
  <c r="AI43" i="31" s="1"/>
  <c r="AD44" i="31"/>
  <c r="AI44" i="31" s="1"/>
  <c r="AI50" i="25" s="1"/>
  <c r="AD45" i="31"/>
  <c r="AI45" i="31" s="1"/>
  <c r="AD46" i="31"/>
  <c r="AI46" i="31" s="1"/>
  <c r="AD47" i="31"/>
  <c r="AI47" i="31" s="1"/>
  <c r="AD48" i="31"/>
  <c r="AI48" i="31" s="1"/>
  <c r="AD49" i="31"/>
  <c r="AI49" i="31" s="1"/>
  <c r="AD50" i="31"/>
  <c r="AI50" i="31" s="1"/>
  <c r="AD51" i="31"/>
  <c r="AI51" i="31" s="1"/>
  <c r="AD52" i="31"/>
  <c r="AI52" i="31" s="1"/>
  <c r="AI20" i="25" s="1"/>
  <c r="AD53" i="31"/>
  <c r="AI53" i="31" s="1"/>
  <c r="AD54" i="31"/>
  <c r="AI54" i="31" s="1"/>
  <c r="AI5" i="25" s="1"/>
  <c r="AD55" i="31"/>
  <c r="AI55" i="31" s="1"/>
  <c r="AD56" i="31"/>
  <c r="AI56" i="31" s="1"/>
  <c r="AI7" i="25" s="1"/>
  <c r="AD57" i="31"/>
  <c r="AI57" i="31" s="1"/>
  <c r="AD58" i="31"/>
  <c r="AI58" i="31" s="1"/>
  <c r="AI24" i="25" s="1"/>
  <c r="AD59" i="31"/>
  <c r="AI59" i="31" s="1"/>
  <c r="AD60" i="31"/>
  <c r="AI60" i="31" s="1"/>
  <c r="AI34" i="25" s="1"/>
  <c r="AD61" i="31"/>
  <c r="AI61" i="31" s="1"/>
  <c r="AD62" i="31"/>
  <c r="AI62" i="31" s="1"/>
  <c r="AI8" i="25" s="1"/>
  <c r="AD63" i="31"/>
  <c r="AI63" i="31" s="1"/>
  <c r="AD64" i="31"/>
  <c r="AI64" i="31" s="1"/>
  <c r="AD65" i="31"/>
  <c r="AI65" i="31" s="1"/>
  <c r="AD66" i="31"/>
  <c r="AI66" i="31" s="1"/>
  <c r="AD67" i="31"/>
  <c r="AI67" i="31" s="1"/>
  <c r="AD68" i="31"/>
  <c r="AI68" i="31" s="1"/>
  <c r="AD69" i="31"/>
  <c r="AI69" i="31" s="1"/>
  <c r="AD70" i="31"/>
  <c r="AI70" i="31" s="1"/>
  <c r="AD71" i="31"/>
  <c r="AI71" i="31" s="1"/>
  <c r="AI10" i="25" s="1"/>
  <c r="AD72" i="31"/>
  <c r="AI72" i="31" s="1"/>
  <c r="AD73" i="31"/>
  <c r="AI73" i="31" s="1"/>
  <c r="AD74" i="31"/>
  <c r="AI74" i="31" s="1"/>
  <c r="AD8" i="31"/>
  <c r="AI8" i="31" s="1"/>
  <c r="AH9" i="31"/>
  <c r="AH10" i="31"/>
  <c r="AH11" i="31"/>
  <c r="AH12" i="31"/>
  <c r="AH13" i="31"/>
  <c r="AH14" i="31"/>
  <c r="AH15" i="31"/>
  <c r="AH16" i="31"/>
  <c r="AH17" i="31"/>
  <c r="AH18" i="31"/>
  <c r="AH19" i="31"/>
  <c r="AH20" i="31"/>
  <c r="AH21" i="31"/>
  <c r="AH22" i="31"/>
  <c r="AH23" i="31"/>
  <c r="AH24" i="31"/>
  <c r="AH25" i="31"/>
  <c r="AH26" i="31"/>
  <c r="AH27" i="31"/>
  <c r="AH28" i="31"/>
  <c r="AH29" i="31"/>
  <c r="AH30" i="31"/>
  <c r="AH31" i="31"/>
  <c r="AH32" i="31"/>
  <c r="AH33" i="31"/>
  <c r="AH34" i="31"/>
  <c r="AH35" i="31"/>
  <c r="AH36" i="31"/>
  <c r="AH37" i="31"/>
  <c r="AH38" i="31"/>
  <c r="AH39" i="31"/>
  <c r="AH40" i="31"/>
  <c r="AH41" i="31"/>
  <c r="AH42" i="31"/>
  <c r="AH43" i="31"/>
  <c r="AH44" i="31"/>
  <c r="AH45" i="31"/>
  <c r="AH46" i="31"/>
  <c r="AH47" i="31"/>
  <c r="AH48" i="31"/>
  <c r="AH49" i="31"/>
  <c r="AH50" i="31"/>
  <c r="AH51" i="31"/>
  <c r="AH52" i="31"/>
  <c r="AH53" i="31"/>
  <c r="AH54" i="31"/>
  <c r="AH55" i="31"/>
  <c r="AH56" i="31"/>
  <c r="AH57" i="31"/>
  <c r="AH58" i="31"/>
  <c r="AH24" i="25" s="1"/>
  <c r="AH59" i="31"/>
  <c r="AH60" i="31"/>
  <c r="AH12" i="25" s="1"/>
  <c r="AH61" i="31"/>
  <c r="AH62" i="31"/>
  <c r="AH8" i="25" s="1"/>
  <c r="AH63" i="31"/>
  <c r="AH64" i="31"/>
  <c r="AH65" i="31"/>
  <c r="AH66" i="31"/>
  <c r="AH67" i="31"/>
  <c r="AH68" i="31"/>
  <c r="AH69" i="31"/>
  <c r="AH70" i="31"/>
  <c r="AH71" i="31"/>
  <c r="AH72" i="31"/>
  <c r="AH73" i="31"/>
  <c r="AH74" i="31"/>
  <c r="AH8" i="31"/>
  <c r="U9" i="31"/>
  <c r="U10" i="31"/>
  <c r="U11" i="31"/>
  <c r="U12" i="31"/>
  <c r="U13" i="31"/>
  <c r="U14" i="31"/>
  <c r="U15" i="31"/>
  <c r="U16" i="31"/>
  <c r="U17" i="31"/>
  <c r="U18" i="31"/>
  <c r="U19" i="31"/>
  <c r="U20" i="31"/>
  <c r="U21" i="31"/>
  <c r="U22" i="31"/>
  <c r="U23" i="31"/>
  <c r="U24" i="31"/>
  <c r="U25" i="31"/>
  <c r="U26" i="31"/>
  <c r="U27" i="31"/>
  <c r="U28" i="31"/>
  <c r="U29" i="31"/>
  <c r="U30" i="31"/>
  <c r="U31" i="31"/>
  <c r="U32" i="31"/>
  <c r="U33" i="31"/>
  <c r="U34" i="31"/>
  <c r="U35" i="31"/>
  <c r="U36" i="31"/>
  <c r="U37" i="31"/>
  <c r="U38" i="31"/>
  <c r="U39" i="31"/>
  <c r="U40" i="31"/>
  <c r="U41" i="31"/>
  <c r="U42" i="31"/>
  <c r="U43" i="31"/>
  <c r="U44" i="31"/>
  <c r="U45" i="31"/>
  <c r="U46" i="31"/>
  <c r="U47" i="31"/>
  <c r="U48" i="31"/>
  <c r="U49" i="31"/>
  <c r="U50" i="31"/>
  <c r="U51" i="31"/>
  <c r="U52" i="31"/>
  <c r="U53" i="31"/>
  <c r="U54" i="31"/>
  <c r="U55" i="31"/>
  <c r="U56" i="31"/>
  <c r="U57" i="31"/>
  <c r="U58" i="31"/>
  <c r="U59" i="31"/>
  <c r="U60" i="31"/>
  <c r="U61" i="31"/>
  <c r="U62" i="31"/>
  <c r="U63" i="31"/>
  <c r="U64" i="31"/>
  <c r="U65" i="31"/>
  <c r="U66" i="31"/>
  <c r="U67" i="31"/>
  <c r="U68" i="31"/>
  <c r="U69" i="31"/>
  <c r="U70" i="31"/>
  <c r="U71" i="31"/>
  <c r="U72" i="31"/>
  <c r="U73" i="31"/>
  <c r="U74" i="31"/>
  <c r="U8" i="31"/>
  <c r="S1" i="31"/>
  <c r="S2" i="31"/>
  <c r="S3" i="31"/>
  <c r="S4" i="31"/>
  <c r="S5" i="31"/>
  <c r="R5" i="31"/>
  <c r="R4" i="31"/>
  <c r="R3" i="31"/>
  <c r="R2" i="31"/>
  <c r="R1" i="31"/>
  <c r="AI3" i="25" l="1"/>
  <c r="AH10" i="25"/>
  <c r="AI36" i="25"/>
  <c r="AI46" i="25"/>
  <c r="AI51" i="25"/>
  <c r="AI16" i="25"/>
  <c r="AI11" i="25"/>
  <c r="AI47" i="25"/>
  <c r="AH5" i="25"/>
  <c r="AH51" i="25"/>
  <c r="AH16" i="25"/>
  <c r="AH36" i="25"/>
  <c r="AI26" i="25"/>
  <c r="AI31" i="25"/>
  <c r="AI56" i="25"/>
  <c r="AI41" i="25"/>
  <c r="AH17" i="25"/>
  <c r="AH47" i="25"/>
  <c r="AI12" i="25"/>
  <c r="AI17" i="25"/>
  <c r="AI37" i="25"/>
  <c r="AI53" i="25"/>
  <c r="AI28" i="25"/>
  <c r="AH35" i="25"/>
  <c r="AH19" i="25"/>
  <c r="AH18" i="25"/>
  <c r="AH52" i="25"/>
  <c r="AH13" i="25"/>
  <c r="AH57" i="25"/>
  <c r="AH6" i="25"/>
  <c r="AH30" i="25"/>
  <c r="AH48" i="25"/>
  <c r="AH29" i="25"/>
  <c r="AH21" i="25"/>
  <c r="AH25" i="25"/>
  <c r="AH45" i="25"/>
  <c r="AH32" i="25"/>
  <c r="AH44" i="25"/>
  <c r="AH23" i="25"/>
  <c r="AH42" i="25"/>
  <c r="AH22" i="25"/>
  <c r="AH27" i="25"/>
  <c r="AH2" i="25"/>
  <c r="AH14" i="25"/>
  <c r="AI38" i="25"/>
  <c r="AI4" i="25"/>
  <c r="AI39" i="25"/>
  <c r="AH33" i="25"/>
  <c r="AH37" i="25"/>
  <c r="AH53" i="25"/>
  <c r="AH28" i="25"/>
  <c r="AI35" i="25"/>
  <c r="AI13" i="25"/>
  <c r="AI57" i="25"/>
  <c r="AI6" i="25"/>
  <c r="AI30" i="25"/>
  <c r="AI48" i="25"/>
  <c r="AI29" i="25"/>
  <c r="AI25" i="25"/>
  <c r="V62" i="31"/>
  <c r="AI21" i="25"/>
  <c r="AH55" i="25"/>
  <c r="AH40" i="25"/>
  <c r="AH54" i="25"/>
  <c r="AI19" i="25"/>
  <c r="AI18" i="25"/>
  <c r="AH11" i="25"/>
  <c r="AH38" i="25"/>
  <c r="AH4" i="25"/>
  <c r="AH39" i="25"/>
  <c r="AH34" i="25"/>
  <c r="AH7" i="25"/>
  <c r="AH20" i="25"/>
  <c r="AH3" i="25"/>
  <c r="AH50" i="25"/>
  <c r="AH9" i="25"/>
  <c r="AH26" i="25"/>
  <c r="AH49" i="25"/>
  <c r="AH31" i="25"/>
  <c r="AH15" i="25"/>
  <c r="AH46" i="25"/>
  <c r="AH56" i="25"/>
  <c r="AH41" i="25"/>
  <c r="AI55" i="25"/>
  <c r="AI40" i="25"/>
  <c r="AI52" i="25"/>
  <c r="AI45" i="25"/>
  <c r="AI32" i="25"/>
  <c r="AI44" i="25"/>
  <c r="AI23" i="25"/>
  <c r="AI42" i="25"/>
  <c r="AI22" i="25"/>
  <c r="AI27" i="25"/>
  <c r="AI2" i="25"/>
  <c r="AI14" i="25"/>
  <c r="AI54" i="25"/>
  <c r="AC2" i="25"/>
  <c r="AI43" i="25"/>
  <c r="AB2" i="25"/>
  <c r="AH43" i="25"/>
  <c r="W36" i="31"/>
  <c r="V21" i="31"/>
  <c r="W68" i="31"/>
  <c r="W24" i="31"/>
  <c r="V14" i="31"/>
  <c r="W48" i="31"/>
  <c r="V69" i="31"/>
  <c r="V37" i="31"/>
  <c r="W52" i="31"/>
  <c r="W16" i="31"/>
  <c r="V30" i="31"/>
  <c r="W20" i="31"/>
  <c r="V10" i="31"/>
  <c r="V8" i="31"/>
  <c r="V61" i="31"/>
  <c r="V45" i="31"/>
  <c r="V29" i="31"/>
  <c r="V13" i="31"/>
  <c r="W64" i="31"/>
  <c r="W40" i="31"/>
  <c r="V53" i="31"/>
  <c r="V46" i="31"/>
  <c r="V70" i="31"/>
  <c r="V54" i="31"/>
  <c r="V38" i="31"/>
  <c r="V22" i="31"/>
  <c r="W56" i="31"/>
  <c r="V74" i="31"/>
  <c r="V66" i="31"/>
  <c r="V58" i="31"/>
  <c r="V50" i="31"/>
  <c r="V42" i="31"/>
  <c r="V34" i="31"/>
  <c r="V26" i="31"/>
  <c r="V18" i="31"/>
  <c r="W63" i="31"/>
  <c r="W32" i="31"/>
  <c r="V11" i="31"/>
  <c r="V15" i="31"/>
  <c r="V19" i="31"/>
  <c r="V23" i="31"/>
  <c r="V27" i="31"/>
  <c r="V31" i="31"/>
  <c r="V35" i="31"/>
  <c r="V39" i="31"/>
  <c r="V43" i="31"/>
  <c r="V47" i="31"/>
  <c r="V51" i="31"/>
  <c r="V55" i="31"/>
  <c r="V59" i="31"/>
  <c r="V63" i="31"/>
  <c r="V67" i="31"/>
  <c r="V71" i="31"/>
  <c r="V12" i="31"/>
  <c r="V16" i="31"/>
  <c r="V20" i="31"/>
  <c r="V24" i="31"/>
  <c r="V28" i="31"/>
  <c r="V32" i="31"/>
  <c r="V36" i="31"/>
  <c r="V40" i="31"/>
  <c r="V44" i="31"/>
  <c r="V48" i="31"/>
  <c r="V52" i="31"/>
  <c r="V56" i="31"/>
  <c r="V60" i="31"/>
  <c r="V64" i="31"/>
  <c r="V68" i="31"/>
  <c r="V72" i="31"/>
  <c r="W9" i="31"/>
  <c r="W13" i="31"/>
  <c r="W17" i="31"/>
  <c r="W21" i="31"/>
  <c r="W25" i="31"/>
  <c r="W29" i="31"/>
  <c r="W33" i="31"/>
  <c r="W37" i="31"/>
  <c r="W41" i="31"/>
  <c r="W45" i="31"/>
  <c r="W49" i="31"/>
  <c r="W53" i="31"/>
  <c r="W57" i="31"/>
  <c r="W61" i="31"/>
  <c r="W65" i="31"/>
  <c r="W69" i="31"/>
  <c r="W73" i="31"/>
  <c r="W8" i="31"/>
  <c r="W10" i="31"/>
  <c r="W14" i="31"/>
  <c r="W18" i="31"/>
  <c r="W22" i="31"/>
  <c r="W26" i="31"/>
  <c r="W30" i="31"/>
  <c r="W34" i="31"/>
  <c r="W38" i="31"/>
  <c r="W42" i="31"/>
  <c r="W46" i="31"/>
  <c r="W50" i="31"/>
  <c r="W54" i="31"/>
  <c r="W58" i="31"/>
  <c r="W62" i="31"/>
  <c r="W66" i="31"/>
  <c r="W70" i="31"/>
  <c r="W74" i="31"/>
  <c r="W11" i="31"/>
  <c r="W15" i="31"/>
  <c r="W19" i="31"/>
  <c r="W23" i="31"/>
  <c r="W27" i="31"/>
  <c r="W31" i="31"/>
  <c r="W35" i="31"/>
  <c r="W39" i="31"/>
  <c r="W43" i="31"/>
  <c r="W47" i="31"/>
  <c r="W51" i="31"/>
  <c r="W55" i="31"/>
  <c r="W59" i="31"/>
  <c r="W67" i="31"/>
  <c r="W71" i="31"/>
  <c r="V73" i="31"/>
  <c r="V65" i="31"/>
  <c r="V57" i="31"/>
  <c r="V49" i="31"/>
  <c r="V41" i="31"/>
  <c r="V33" i="31"/>
  <c r="V25" i="31"/>
  <c r="V17" i="31"/>
  <c r="V9" i="31"/>
  <c r="W72" i="31"/>
  <c r="W60" i="31"/>
  <c r="W44" i="31"/>
  <c r="W28" i="31"/>
  <c r="W12" i="31"/>
  <c r="V9" i="29" l="1"/>
  <c r="V10" i="29"/>
  <c r="V11" i="29"/>
  <c r="V12" i="29"/>
  <c r="V13" i="29"/>
  <c r="V14" i="29"/>
  <c r="V15" i="29"/>
  <c r="V16" i="29"/>
  <c r="V17" i="29"/>
  <c r="V18" i="29"/>
  <c r="V19" i="29"/>
  <c r="V20" i="29"/>
  <c r="V21" i="29"/>
  <c r="V22" i="29"/>
  <c r="V23" i="29"/>
  <c r="V24" i="29"/>
  <c r="V25" i="29"/>
  <c r="V26" i="29"/>
  <c r="V27" i="29"/>
  <c r="V28" i="29"/>
  <c r="V30" i="29"/>
  <c r="V31" i="29"/>
  <c r="V32" i="29"/>
  <c r="V33" i="29"/>
  <c r="V34" i="29"/>
  <c r="V35" i="29"/>
  <c r="V36" i="29"/>
  <c r="V37" i="29"/>
  <c r="V38" i="29"/>
  <c r="V39" i="29"/>
  <c r="V40" i="29"/>
  <c r="V41" i="29"/>
  <c r="V42" i="29"/>
  <c r="V43" i="29"/>
  <c r="V44" i="29"/>
  <c r="V45" i="29"/>
  <c r="V46" i="29"/>
  <c r="V47" i="29"/>
  <c r="V48" i="29"/>
  <c r="V49" i="29"/>
  <c r="V50" i="29"/>
  <c r="V51" i="29"/>
  <c r="V52" i="29"/>
  <c r="V53" i="29"/>
  <c r="V54" i="29"/>
  <c r="V55" i="29"/>
  <c r="V56" i="29"/>
  <c r="V57" i="29"/>
  <c r="V58" i="29"/>
  <c r="V59" i="29"/>
  <c r="V60" i="29"/>
  <c r="V61" i="29"/>
  <c r="V62" i="29"/>
  <c r="V63" i="29"/>
  <c r="V64" i="29"/>
  <c r="V65" i="29"/>
  <c r="V66" i="29"/>
  <c r="V67" i="29"/>
  <c r="V68" i="29"/>
  <c r="V69" i="29"/>
  <c r="V70" i="29"/>
  <c r="V71" i="29"/>
  <c r="V72" i="29"/>
  <c r="V73" i="29"/>
  <c r="V74" i="29"/>
  <c r="V75" i="29"/>
  <c r="V76" i="29"/>
  <c r="V77" i="29"/>
  <c r="V78" i="29"/>
  <c r="V8" i="29"/>
  <c r="U9" i="29"/>
  <c r="U10" i="29"/>
  <c r="U11" i="29"/>
  <c r="U12" i="29"/>
  <c r="U13" i="29"/>
  <c r="U14" i="29"/>
  <c r="U15" i="29"/>
  <c r="U16" i="29"/>
  <c r="U17" i="29"/>
  <c r="U18" i="29"/>
  <c r="U19" i="29"/>
  <c r="U20" i="29"/>
  <c r="U21" i="29"/>
  <c r="U22" i="29"/>
  <c r="U23" i="29"/>
  <c r="U24" i="29"/>
  <c r="U25" i="29"/>
  <c r="U26" i="29"/>
  <c r="U27" i="29"/>
  <c r="U28" i="29"/>
  <c r="U30" i="29"/>
  <c r="U31" i="29"/>
  <c r="U32" i="29"/>
  <c r="U33" i="29"/>
  <c r="U34" i="29"/>
  <c r="U35" i="29"/>
  <c r="U36" i="29"/>
  <c r="U37" i="29"/>
  <c r="U38" i="29"/>
  <c r="U39" i="29"/>
  <c r="U40" i="29"/>
  <c r="U41" i="29"/>
  <c r="U42" i="29"/>
  <c r="U43" i="29"/>
  <c r="U44" i="29"/>
  <c r="U45" i="29"/>
  <c r="U46" i="29"/>
  <c r="U47" i="29"/>
  <c r="U48" i="29"/>
  <c r="U49" i="29"/>
  <c r="U50" i="29"/>
  <c r="U51" i="29"/>
  <c r="U52" i="29"/>
  <c r="U53" i="29"/>
  <c r="U54" i="29"/>
  <c r="U55" i="29"/>
  <c r="U56" i="29"/>
  <c r="U57" i="29"/>
  <c r="U58" i="29"/>
  <c r="U59" i="29"/>
  <c r="U60" i="29"/>
  <c r="U61" i="29"/>
  <c r="U62" i="29"/>
  <c r="U63" i="29"/>
  <c r="U64" i="29"/>
  <c r="U65" i="29"/>
  <c r="U66" i="29"/>
  <c r="U67" i="29"/>
  <c r="U68" i="29"/>
  <c r="U69" i="29"/>
  <c r="U70" i="29"/>
  <c r="U71" i="29"/>
  <c r="U72" i="29"/>
  <c r="U73" i="29"/>
  <c r="U74" i="29"/>
  <c r="U75" i="29"/>
  <c r="U76" i="29"/>
  <c r="U77" i="29"/>
  <c r="U78" i="29"/>
  <c r="U8" i="29"/>
  <c r="T9" i="29"/>
  <c r="T10" i="29"/>
  <c r="T11" i="29"/>
  <c r="T12" i="29"/>
  <c r="T13" i="29"/>
  <c r="T14" i="29"/>
  <c r="T15" i="29"/>
  <c r="T16" i="29"/>
  <c r="T17" i="29"/>
  <c r="T18" i="29"/>
  <c r="T19" i="29"/>
  <c r="T20" i="29"/>
  <c r="T21" i="29"/>
  <c r="T22" i="29"/>
  <c r="T23" i="29"/>
  <c r="T24" i="29"/>
  <c r="T25" i="29"/>
  <c r="T26" i="29"/>
  <c r="T27" i="29"/>
  <c r="T28" i="29"/>
  <c r="T30" i="29"/>
  <c r="T31" i="29"/>
  <c r="T32" i="29"/>
  <c r="T33" i="29"/>
  <c r="T34" i="29"/>
  <c r="T35" i="29"/>
  <c r="T36" i="29"/>
  <c r="T37" i="29"/>
  <c r="T38" i="29"/>
  <c r="T39" i="29"/>
  <c r="T40" i="29"/>
  <c r="T41" i="29"/>
  <c r="T42" i="29"/>
  <c r="T43" i="29"/>
  <c r="T44" i="29"/>
  <c r="T45" i="29"/>
  <c r="T46" i="29"/>
  <c r="T47" i="29"/>
  <c r="T48" i="29"/>
  <c r="T49" i="29"/>
  <c r="T50" i="29"/>
  <c r="T51" i="29"/>
  <c r="T52" i="29"/>
  <c r="T53" i="29"/>
  <c r="T54" i="29"/>
  <c r="T55" i="29"/>
  <c r="T56" i="29"/>
  <c r="T57" i="29"/>
  <c r="T58" i="29"/>
  <c r="T59" i="29"/>
  <c r="T60" i="29"/>
  <c r="T61" i="29"/>
  <c r="T62" i="29"/>
  <c r="T63" i="29"/>
  <c r="T64" i="29"/>
  <c r="T65" i="29"/>
  <c r="T66" i="29"/>
  <c r="T67" i="29"/>
  <c r="T68" i="29"/>
  <c r="T69" i="29"/>
  <c r="T70" i="29"/>
  <c r="T71" i="29"/>
  <c r="T72" i="29"/>
  <c r="T73" i="29"/>
  <c r="T74" i="29"/>
  <c r="T75" i="29"/>
  <c r="T76" i="29"/>
  <c r="T77" i="29"/>
  <c r="T78" i="29"/>
  <c r="T8" i="29"/>
  <c r="O9" i="29"/>
  <c r="O10" i="29"/>
  <c r="O11" i="29"/>
  <c r="O12" i="29"/>
  <c r="O13" i="29"/>
  <c r="O14" i="29"/>
  <c r="O15" i="29"/>
  <c r="O16" i="29"/>
  <c r="O17" i="29"/>
  <c r="O18" i="29"/>
  <c r="O19" i="29"/>
  <c r="O20" i="29"/>
  <c r="O21" i="29"/>
  <c r="O22" i="29"/>
  <c r="O23" i="29"/>
  <c r="O24" i="29"/>
  <c r="O25" i="29"/>
  <c r="O26" i="29"/>
  <c r="O27" i="29"/>
  <c r="O28" i="29"/>
  <c r="O30" i="29"/>
  <c r="O31" i="29"/>
  <c r="O32" i="29"/>
  <c r="O33" i="29"/>
  <c r="O34" i="29"/>
  <c r="O35" i="29"/>
  <c r="O36" i="29"/>
  <c r="O37" i="29"/>
  <c r="O38" i="29"/>
  <c r="O39" i="29"/>
  <c r="O40" i="29"/>
  <c r="O41" i="29"/>
  <c r="O42" i="29"/>
  <c r="O43" i="29"/>
  <c r="O44" i="29"/>
  <c r="O45" i="29"/>
  <c r="O46" i="29"/>
  <c r="O47" i="29"/>
  <c r="O48" i="29"/>
  <c r="O49" i="29"/>
  <c r="O50" i="29"/>
  <c r="O51" i="29"/>
  <c r="O52" i="29"/>
  <c r="O53" i="29"/>
  <c r="O54" i="29"/>
  <c r="O55" i="29"/>
  <c r="O56" i="29"/>
  <c r="O57" i="29"/>
  <c r="O58" i="29"/>
  <c r="O59" i="29"/>
  <c r="O60" i="29"/>
  <c r="O61" i="29"/>
  <c r="O62" i="29"/>
  <c r="O63" i="29"/>
  <c r="O64" i="29"/>
  <c r="O65" i="29"/>
  <c r="O66" i="29"/>
  <c r="O67" i="29"/>
  <c r="O68" i="29"/>
  <c r="O69" i="29"/>
  <c r="O70" i="29"/>
  <c r="O71" i="29"/>
  <c r="O72" i="29"/>
  <c r="O73" i="29"/>
  <c r="O74" i="29"/>
  <c r="O75" i="29"/>
  <c r="O76" i="29"/>
  <c r="O77" i="29"/>
  <c r="O78" i="29"/>
  <c r="O8" i="29"/>
  <c r="I9" i="29"/>
  <c r="I10" i="29"/>
  <c r="I11" i="29"/>
  <c r="I12" i="29"/>
  <c r="I13" i="29"/>
  <c r="I14" i="29"/>
  <c r="I15" i="29"/>
  <c r="I16" i="29"/>
  <c r="I17" i="29"/>
  <c r="I18" i="29"/>
  <c r="I19" i="29"/>
  <c r="I20" i="29"/>
  <c r="I21" i="29"/>
  <c r="I22" i="29"/>
  <c r="I23" i="29"/>
  <c r="I24" i="29"/>
  <c r="I25" i="29"/>
  <c r="I26" i="29"/>
  <c r="I27" i="29"/>
  <c r="I28" i="29"/>
  <c r="I30" i="29"/>
  <c r="I31" i="29"/>
  <c r="I32" i="29"/>
  <c r="I33" i="29"/>
  <c r="I34" i="29"/>
  <c r="I35" i="29"/>
  <c r="I36" i="29"/>
  <c r="I37" i="29"/>
  <c r="I38" i="29"/>
  <c r="I39" i="29"/>
  <c r="I40" i="29"/>
  <c r="I41" i="29"/>
  <c r="I42" i="29"/>
  <c r="I43" i="29"/>
  <c r="I44" i="29"/>
  <c r="I45" i="29"/>
  <c r="I46" i="29"/>
  <c r="I47" i="29"/>
  <c r="I48" i="29"/>
  <c r="I49" i="29"/>
  <c r="I50" i="29"/>
  <c r="I51" i="29"/>
  <c r="I52" i="29"/>
  <c r="I53" i="29"/>
  <c r="I54" i="29"/>
  <c r="I55" i="29"/>
  <c r="I56" i="29"/>
  <c r="I57" i="29"/>
  <c r="I58" i="29"/>
  <c r="I59" i="29"/>
  <c r="I60" i="29"/>
  <c r="I61" i="29"/>
  <c r="I62" i="29"/>
  <c r="I63" i="29"/>
  <c r="I64" i="29"/>
  <c r="I65" i="29"/>
  <c r="I66" i="29"/>
  <c r="I67" i="29"/>
  <c r="I68" i="29"/>
  <c r="I69" i="29"/>
  <c r="I70" i="29"/>
  <c r="I71" i="29"/>
  <c r="I72" i="29"/>
  <c r="I73" i="29"/>
  <c r="I74" i="29"/>
  <c r="I75" i="29"/>
  <c r="I76" i="29"/>
  <c r="I77" i="29"/>
  <c r="I78" i="29"/>
  <c r="I8" i="29"/>
  <c r="H5" i="29"/>
  <c r="H4" i="29"/>
  <c r="H3" i="29"/>
  <c r="H2" i="29"/>
  <c r="S9" i="29" s="1"/>
  <c r="H1" i="29"/>
  <c r="G5" i="29"/>
  <c r="G4" i="29"/>
  <c r="G3" i="29"/>
  <c r="G2" i="29"/>
  <c r="R42" i="29" s="1"/>
  <c r="G1" i="29"/>
  <c r="F5" i="29"/>
  <c r="F4" i="29"/>
  <c r="F3" i="29"/>
  <c r="F2" i="29"/>
  <c r="F1" i="29"/>
  <c r="E5" i="29"/>
  <c r="E4" i="29"/>
  <c r="E3" i="29"/>
  <c r="E2" i="29"/>
  <c r="E1" i="29"/>
  <c r="Q9" i="29" l="1"/>
  <c r="R58" i="29"/>
  <c r="R21" i="29"/>
  <c r="S56" i="29"/>
  <c r="R78" i="29"/>
  <c r="S48" i="29"/>
  <c r="Q72" i="29"/>
  <c r="Q56" i="29"/>
  <c r="Q40" i="29"/>
  <c r="Q23" i="29"/>
  <c r="Q68" i="29"/>
  <c r="Q52" i="29"/>
  <c r="Q36" i="29"/>
  <c r="Q19" i="29"/>
  <c r="R74" i="29"/>
  <c r="R54" i="29"/>
  <c r="R17" i="29"/>
  <c r="Q64" i="29"/>
  <c r="Q48" i="29"/>
  <c r="Q32" i="29"/>
  <c r="R66" i="29"/>
  <c r="R50" i="29"/>
  <c r="R10" i="29"/>
  <c r="S32" i="29"/>
  <c r="Q76" i="29"/>
  <c r="Q60" i="29"/>
  <c r="Q44" i="29"/>
  <c r="Q27" i="29"/>
  <c r="Q12" i="29"/>
  <c r="R62" i="29"/>
  <c r="S68" i="29"/>
  <c r="S19" i="29"/>
  <c r="P11" i="29"/>
  <c r="P15" i="29"/>
  <c r="P18" i="29"/>
  <c r="P22" i="29"/>
  <c r="P26" i="29"/>
  <c r="P31" i="29"/>
  <c r="P35" i="29"/>
  <c r="P39" i="29"/>
  <c r="P43" i="29"/>
  <c r="P47" i="29"/>
  <c r="P51" i="29"/>
  <c r="P55" i="29"/>
  <c r="P59" i="29"/>
  <c r="P63" i="29"/>
  <c r="P67" i="29"/>
  <c r="P71" i="29"/>
  <c r="P75" i="29"/>
  <c r="P14" i="29"/>
  <c r="P17" i="29"/>
  <c r="P30" i="29"/>
  <c r="P38" i="29"/>
  <c r="P54" i="29"/>
  <c r="P66" i="29"/>
  <c r="P74" i="29"/>
  <c r="P12" i="29"/>
  <c r="P19" i="29"/>
  <c r="P23" i="29"/>
  <c r="P27" i="29"/>
  <c r="P32" i="29"/>
  <c r="P36" i="29"/>
  <c r="P40" i="29"/>
  <c r="P44" i="29"/>
  <c r="P48" i="29"/>
  <c r="P52" i="29"/>
  <c r="P56" i="29"/>
  <c r="P60" i="29"/>
  <c r="P64" i="29"/>
  <c r="P68" i="29"/>
  <c r="P72" i="29"/>
  <c r="P76" i="29"/>
  <c r="P25" i="29"/>
  <c r="P46" i="29"/>
  <c r="P58" i="29"/>
  <c r="P78" i="29"/>
  <c r="P9" i="29"/>
  <c r="P13" i="29"/>
  <c r="P16" i="29"/>
  <c r="P20" i="29"/>
  <c r="P24" i="29"/>
  <c r="P28" i="29"/>
  <c r="P33" i="29"/>
  <c r="P37" i="29"/>
  <c r="P41" i="29"/>
  <c r="P45" i="29"/>
  <c r="P49" i="29"/>
  <c r="P53" i="29"/>
  <c r="P57" i="29"/>
  <c r="P61" i="29"/>
  <c r="P65" i="29"/>
  <c r="P69" i="29"/>
  <c r="P73" i="29"/>
  <c r="P77" i="29"/>
  <c r="P10" i="29"/>
  <c r="P21" i="29"/>
  <c r="P34" i="29"/>
  <c r="P42" i="29"/>
  <c r="P50" i="29"/>
  <c r="P62" i="29"/>
  <c r="P70" i="29"/>
  <c r="P8" i="29"/>
  <c r="R25" i="29"/>
  <c r="R30" i="29"/>
  <c r="R46" i="29"/>
  <c r="R34" i="29"/>
  <c r="R14" i="29"/>
  <c r="R38" i="29"/>
  <c r="R70" i="29"/>
  <c r="R11" i="29"/>
  <c r="S52" i="29"/>
  <c r="S60" i="29"/>
  <c r="S76" i="29"/>
  <c r="S12" i="29"/>
  <c r="S23" i="29"/>
  <c r="S27" i="29"/>
  <c r="S36" i="29"/>
  <c r="S40" i="29"/>
  <c r="S44" i="29"/>
  <c r="S64" i="29"/>
  <c r="S72" i="29"/>
  <c r="Q8" i="29"/>
  <c r="Q75" i="29"/>
  <c r="Q71" i="29"/>
  <c r="Q67" i="29"/>
  <c r="Q63" i="29"/>
  <c r="Q59" i="29"/>
  <c r="Q55" i="29"/>
  <c r="Q51" i="29"/>
  <c r="Q47" i="29"/>
  <c r="Q43" i="29"/>
  <c r="Q39" i="29"/>
  <c r="Q35" i="29"/>
  <c r="Q31" i="29"/>
  <c r="Q26" i="29"/>
  <c r="Q22" i="29"/>
  <c r="Q18" i="29"/>
  <c r="Q15" i="29"/>
  <c r="Q11" i="29"/>
  <c r="R77" i="29"/>
  <c r="R73" i="29"/>
  <c r="R69" i="29"/>
  <c r="R65" i="29"/>
  <c r="R61" i="29"/>
  <c r="R57" i="29"/>
  <c r="R53" i="29"/>
  <c r="R49" i="29"/>
  <c r="R45" i="29"/>
  <c r="R41" i="29"/>
  <c r="R37" i="29"/>
  <c r="R33" i="29"/>
  <c r="R28" i="29"/>
  <c r="R24" i="29"/>
  <c r="R20" i="29"/>
  <c r="R16" i="29"/>
  <c r="R13" i="29"/>
  <c r="R9" i="29"/>
  <c r="S75" i="29"/>
  <c r="S71" i="29"/>
  <c r="S67" i="29"/>
  <c r="S63" i="29"/>
  <c r="S59" i="29"/>
  <c r="S55" i="29"/>
  <c r="S51" i="29"/>
  <c r="S47" i="29"/>
  <c r="S43" i="29"/>
  <c r="S39" i="29"/>
  <c r="S35" i="29"/>
  <c r="S31" i="29"/>
  <c r="S26" i="29"/>
  <c r="S22" i="29"/>
  <c r="S18" i="29"/>
  <c r="S15" i="29"/>
  <c r="S11" i="29"/>
  <c r="R8" i="29"/>
  <c r="Q78" i="29"/>
  <c r="Q74" i="29"/>
  <c r="Q70" i="29"/>
  <c r="Q66" i="29"/>
  <c r="Q62" i="29"/>
  <c r="Q58" i="29"/>
  <c r="Q54" i="29"/>
  <c r="Q50" i="29"/>
  <c r="Q46" i="29"/>
  <c r="Q42" i="29"/>
  <c r="Q38" i="29"/>
  <c r="Q34" i="29"/>
  <c r="Q30" i="29"/>
  <c r="Q25" i="29"/>
  <c r="Q21" i="29"/>
  <c r="Q17" i="29"/>
  <c r="Q14" i="29"/>
  <c r="Q10" i="29"/>
  <c r="R76" i="29"/>
  <c r="R72" i="29"/>
  <c r="R68" i="29"/>
  <c r="R64" i="29"/>
  <c r="R60" i="29"/>
  <c r="R56" i="29"/>
  <c r="R52" i="29"/>
  <c r="R48" i="29"/>
  <c r="R44" i="29"/>
  <c r="R40" i="29"/>
  <c r="R36" i="29"/>
  <c r="R32" i="29"/>
  <c r="R27" i="29"/>
  <c r="R23" i="29"/>
  <c r="R19" i="29"/>
  <c r="R12" i="29"/>
  <c r="S78" i="29"/>
  <c r="S74" i="29"/>
  <c r="S70" i="29"/>
  <c r="S66" i="29"/>
  <c r="S62" i="29"/>
  <c r="S58" i="29"/>
  <c r="S54" i="29"/>
  <c r="S50" i="29"/>
  <c r="S46" i="29"/>
  <c r="S42" i="29"/>
  <c r="S38" i="29"/>
  <c r="S34" i="29"/>
  <c r="S30" i="29"/>
  <c r="S25" i="29"/>
  <c r="S21" i="29"/>
  <c r="S17" i="29"/>
  <c r="S14" i="29"/>
  <c r="S10" i="29"/>
  <c r="S8" i="29"/>
  <c r="Q77" i="29"/>
  <c r="Q73" i="29"/>
  <c r="Q69" i="29"/>
  <c r="Q65" i="29"/>
  <c r="Q61" i="29"/>
  <c r="Q57" i="29"/>
  <c r="Q53" i="29"/>
  <c r="Q49" i="29"/>
  <c r="Q45" i="29"/>
  <c r="Q41" i="29"/>
  <c r="Q37" i="29"/>
  <c r="Q33" i="29"/>
  <c r="Q28" i="29"/>
  <c r="Q24" i="29"/>
  <c r="Q20" i="29"/>
  <c r="Q16" i="29"/>
  <c r="Q13" i="29"/>
  <c r="R75" i="29"/>
  <c r="R71" i="29"/>
  <c r="R67" i="29"/>
  <c r="R63" i="29"/>
  <c r="R59" i="29"/>
  <c r="R55" i="29"/>
  <c r="R51" i="29"/>
  <c r="R47" i="29"/>
  <c r="R43" i="29"/>
  <c r="R39" i="29"/>
  <c r="R35" i="29"/>
  <c r="R31" i="29"/>
  <c r="R26" i="29"/>
  <c r="R22" i="29"/>
  <c r="R18" i="29"/>
  <c r="R15" i="29"/>
  <c r="S77" i="29"/>
  <c r="S73" i="29"/>
  <c r="S69" i="29"/>
  <c r="S65" i="29"/>
  <c r="S61" i="29"/>
  <c r="S57" i="29"/>
  <c r="S53" i="29"/>
  <c r="S49" i="29"/>
  <c r="S45" i="29"/>
  <c r="S41" i="29"/>
  <c r="S37" i="29"/>
  <c r="S33" i="29"/>
  <c r="S28" i="29"/>
  <c r="S24" i="29"/>
  <c r="S20" i="29"/>
  <c r="S16" i="29"/>
  <c r="S13" i="29"/>
  <c r="AD2" i="12" l="1"/>
  <c r="AA2" i="12" l="1"/>
  <c r="AB2" i="12" l="1"/>
  <c r="AC2" i="12"/>
  <c r="B29" i="25" l="1"/>
  <c r="C29" i="25" l="1"/>
  <c r="I29" i="25"/>
  <c r="H29" i="25"/>
  <c r="J29" i="25"/>
  <c r="F29" i="25"/>
  <c r="G29" i="25"/>
  <c r="E29" i="25"/>
  <c r="D29" i="25"/>
  <c r="B30" i="23"/>
  <c r="F30" i="23" l="1"/>
  <c r="I30" i="23"/>
  <c r="E30" i="23"/>
  <c r="H30" i="23"/>
  <c r="D30" i="23"/>
  <c r="G30" i="23"/>
  <c r="C30" i="23"/>
  <c r="B4" i="21"/>
  <c r="G4" i="21" l="1"/>
  <c r="F4" i="21"/>
  <c r="E4" i="21"/>
  <c r="H4" i="21"/>
  <c r="D4" i="21"/>
  <c r="C4" i="21"/>
  <c r="B29" i="12" l="1"/>
  <c r="C29" i="12" s="1"/>
  <c r="H29" i="12" l="1"/>
  <c r="D29" i="12"/>
  <c r="I29" i="12"/>
  <c r="G29" i="12"/>
  <c r="K29" i="12"/>
  <c r="F29" i="12"/>
  <c r="J29" i="12"/>
  <c r="E29" i="12"/>
  <c r="AL2" i="12"/>
  <c r="AM2" i="12"/>
</calcChain>
</file>

<file path=xl/sharedStrings.xml><?xml version="1.0" encoding="utf-8"?>
<sst xmlns="http://schemas.openxmlformats.org/spreadsheetml/2006/main" count="4273" uniqueCount="1047">
  <si>
    <t>7A1</t>
  </si>
  <si>
    <t>Betsi Cadwaladr University Health Board</t>
  </si>
  <si>
    <t>7A3</t>
  </si>
  <si>
    <t>7A4</t>
  </si>
  <si>
    <t>Cardiff and Vale University Health Board</t>
  </si>
  <si>
    <t>7A5</t>
  </si>
  <si>
    <t>7A6</t>
  </si>
  <si>
    <t>Aneurin Bevan University Health Board</t>
  </si>
  <si>
    <t>R0A</t>
  </si>
  <si>
    <t>Manchester University NHS Foundation Trust</t>
  </si>
  <si>
    <t>R1H</t>
  </si>
  <si>
    <t>Barts Health NHS Trust</t>
  </si>
  <si>
    <t>R1K</t>
  </si>
  <si>
    <t>RA9</t>
  </si>
  <si>
    <t>Torbay and South Devon NHS Foundation Trust</t>
  </si>
  <si>
    <t>RAE</t>
  </si>
  <si>
    <t>Bradford Teaching Hospitals NHS Foundation Trust</t>
  </si>
  <si>
    <t>RAJ</t>
  </si>
  <si>
    <t>RAL</t>
  </si>
  <si>
    <t>Royal Free London NHS Foundation Trust</t>
  </si>
  <si>
    <t>RBN</t>
  </si>
  <si>
    <t>St Helens &amp; Knowsley Teaching Hospitals NHS Trust</t>
  </si>
  <si>
    <t>RCB</t>
  </si>
  <si>
    <t>York Teaching Hospital NHS Foundation Trust</t>
  </si>
  <si>
    <t>RDE</t>
  </si>
  <si>
    <t>RDU</t>
  </si>
  <si>
    <t>Frimley Health NHS Foundation Trust</t>
  </si>
  <si>
    <t>REF</t>
  </si>
  <si>
    <t>Royal Cornwall Hospitals NHS Trust</t>
  </si>
  <si>
    <t>REM</t>
  </si>
  <si>
    <t>RF4</t>
  </si>
  <si>
    <t>RGN</t>
  </si>
  <si>
    <t>North West Anglia NHS Foundation Trust</t>
  </si>
  <si>
    <t>RGR</t>
  </si>
  <si>
    <t>West Suffolk NHS Foundation Trust</t>
  </si>
  <si>
    <t>RGT</t>
  </si>
  <si>
    <t>Cambridge University Hospitals NHS Foundation Trust</t>
  </si>
  <si>
    <t>RH8</t>
  </si>
  <si>
    <t>Royal Devon and Exeter NHS Foundation Trust</t>
  </si>
  <si>
    <t>RHM</t>
  </si>
  <si>
    <t>University Hospital Southampton NHS Foundation Trust</t>
  </si>
  <si>
    <t>RHQ</t>
  </si>
  <si>
    <t>Sheffield Teaching Hospitals NHS Foundation Trust</t>
  </si>
  <si>
    <t>RHW</t>
  </si>
  <si>
    <t>Royal Berkshire NHS Foundation Trust</t>
  </si>
  <si>
    <t>RJ1</t>
  </si>
  <si>
    <t>Guy's and St Thomas' NHS Foundation Trust</t>
  </si>
  <si>
    <t>RJ7</t>
  </si>
  <si>
    <t>St George's University Hospitals NHS Foundation Trust</t>
  </si>
  <si>
    <t>RJE</t>
  </si>
  <si>
    <t>University Hospital of North Midlands NHS Trust</t>
  </si>
  <si>
    <t>RJR</t>
  </si>
  <si>
    <t>Countess of Chester Hospital NHS Foundation Trust</t>
  </si>
  <si>
    <t>RJZ</t>
  </si>
  <si>
    <t>King's College Hospital NHS Foundation Trust</t>
  </si>
  <si>
    <t>RK9</t>
  </si>
  <si>
    <t>RKB</t>
  </si>
  <si>
    <t>University Hospitals Coventry and Warwickshire NHS Trust</t>
  </si>
  <si>
    <t>RL4</t>
  </si>
  <si>
    <t>Royal Wolverhampton Hospitals NHS Trust</t>
  </si>
  <si>
    <t>RM1</t>
  </si>
  <si>
    <t>Norfolk and Norwich University Hospitals NHS Foundation Trust</t>
  </si>
  <si>
    <t>RMC</t>
  </si>
  <si>
    <t>Bolton NHS Foundation Trust</t>
  </si>
  <si>
    <t>RNA</t>
  </si>
  <si>
    <t>The Dudley Group NHS Foundation Trust</t>
  </si>
  <si>
    <t>RNS</t>
  </si>
  <si>
    <t>Northampton General Hospital NHS Trust</t>
  </si>
  <si>
    <t>RP5</t>
  </si>
  <si>
    <t>RPA</t>
  </si>
  <si>
    <t>Medway NHS Foundation Trust</t>
  </si>
  <si>
    <t>RQW</t>
  </si>
  <si>
    <t>Princess Alexandra Hospital NHS Trust</t>
  </si>
  <si>
    <t>RR7</t>
  </si>
  <si>
    <t>Gateshead Health NHS Foundation Trust</t>
  </si>
  <si>
    <t>RR8</t>
  </si>
  <si>
    <t>Leeds Teaching Hospitals NHS Trust</t>
  </si>
  <si>
    <t>RRK</t>
  </si>
  <si>
    <t>University Hospitals Birmingham NHS Foundation Trust</t>
  </si>
  <si>
    <t>RRV</t>
  </si>
  <si>
    <t>University College London Hospitals NHS Foundation Trust</t>
  </si>
  <si>
    <t>RT3</t>
  </si>
  <si>
    <t>Royal Brompton &amp; Harefield NHS Foundation Trust</t>
  </si>
  <si>
    <t>RTD</t>
  </si>
  <si>
    <t>Newcastle upon Tyne Hospitals NHS Foundation Trust</t>
  </si>
  <si>
    <t>RTE</t>
  </si>
  <si>
    <t>Gloucestershire Hospitals NHS Foundation Trust</t>
  </si>
  <si>
    <t>RTG</t>
  </si>
  <si>
    <t>RTH</t>
  </si>
  <si>
    <t>RTK</t>
  </si>
  <si>
    <t>RTR</t>
  </si>
  <si>
    <t>South Tees Hospitals NHS Foundation Trust</t>
  </si>
  <si>
    <t>RVJ</t>
  </si>
  <si>
    <t>North Bristol NHS Trust</t>
  </si>
  <si>
    <t>RVV</t>
  </si>
  <si>
    <t>East Kent Hospitals University NHS Foundation Trust</t>
  </si>
  <si>
    <t>RWA</t>
  </si>
  <si>
    <t>RWD</t>
  </si>
  <si>
    <t>United Lincolnshire Hospitals NHS Trust</t>
  </si>
  <si>
    <t>RWE</t>
  </si>
  <si>
    <t>University Hospitals of Leicester NHS Trust</t>
  </si>
  <si>
    <t>RWG</t>
  </si>
  <si>
    <t>West Hertfordshire Hospitals NHS Trust</t>
  </si>
  <si>
    <t>RWH</t>
  </si>
  <si>
    <t>East and North Hertfordshire NHS Trust</t>
  </si>
  <si>
    <t>RWP</t>
  </si>
  <si>
    <t>Worcestershire Acute Hospitals NHS Trust</t>
  </si>
  <si>
    <t>RWY</t>
  </si>
  <si>
    <t>Calderdale and Huddersfield NHS Foundation Trust</t>
  </si>
  <si>
    <t>RX1</t>
  </si>
  <si>
    <t>Nottingham University Hospitals NHS Trust</t>
  </si>
  <si>
    <t>RXF</t>
  </si>
  <si>
    <t>Mid Yorkshire Hospitals NHS Trust</t>
  </si>
  <si>
    <t>RXN</t>
  </si>
  <si>
    <t>Lancashire Teaching Hospitals NHS Foundation Trust</t>
  </si>
  <si>
    <t>RXR</t>
  </si>
  <si>
    <t>East Lancashire Hospitals NHS Trust</t>
  </si>
  <si>
    <t>RXW</t>
  </si>
  <si>
    <t>Shrewsbury and Telford Hospital NHS Trust</t>
  </si>
  <si>
    <t>RYJ</t>
  </si>
  <si>
    <t>Imperial College Healthcare NHS Trust</t>
  </si>
  <si>
    <t>SA999</t>
  </si>
  <si>
    <t>NHS Ayrshire &amp; Arran</t>
  </si>
  <si>
    <t>SG999</t>
  </si>
  <si>
    <t>NHS Greater Glasgow and Clyde</t>
  </si>
  <si>
    <t>SH999</t>
  </si>
  <si>
    <t>NHS Highland</t>
  </si>
  <si>
    <t>SL999</t>
  </si>
  <si>
    <t>NHS Lanarkshire</t>
  </si>
  <si>
    <t>SN999</t>
  </si>
  <si>
    <t>NHS Grampian</t>
  </si>
  <si>
    <t>SS999</t>
  </si>
  <si>
    <t>NHS Lothian</t>
  </si>
  <si>
    <t>ST999</t>
  </si>
  <si>
    <t>NHS Tayside</t>
  </si>
  <si>
    <t>SV999</t>
  </si>
  <si>
    <t>NHS Forth Valley</t>
  </si>
  <si>
    <t>ZT001</t>
  </si>
  <si>
    <t>Belfast Health and Social Care Trust</t>
  </si>
  <si>
    <t>Trust Name</t>
  </si>
  <si>
    <t>Trust code</t>
  </si>
  <si>
    <t>NVR cases</t>
  </si>
  <si>
    <t>Patients referred within 7 days of symptom</t>
  </si>
  <si>
    <t>Patients receiving surgery within 7 days of referral</t>
  </si>
  <si>
    <t>Patients receiving surgery within 14 days of symptom</t>
  </si>
  <si>
    <t>Median(IQR) length of stay (days)</t>
  </si>
  <si>
    <t>Symptomatic cases</t>
  </si>
  <si>
    <t>Median delay and IQR from index symptom to surgery (days)</t>
  </si>
  <si>
    <t>NVR Cases</t>
  </si>
  <si>
    <t>No. of EVAR</t>
  </si>
  <si>
    <t>% patients with anaesthetic review</t>
  </si>
  <si>
    <t>% patients undergoing pre-op CT/MR angiogram assessment</t>
  </si>
  <si>
    <t>%patients discussed at MDT</t>
  </si>
  <si>
    <t>Median delay and IQR from assessment to surgery (days)</t>
  </si>
  <si>
    <t>Median (IQR) length of stay for open repairs (days)</t>
  </si>
  <si>
    <t>Median (IQR) length of stay for EVAR (days)</t>
  </si>
  <si>
    <t>% patients with date of assessment</t>
  </si>
  <si>
    <t>Median (IQR) length of stay (days)</t>
  </si>
  <si>
    <t>Swansea Bay University Health Board</t>
  </si>
  <si>
    <t>University Hospitals Plymouth NHS Trust</t>
  </si>
  <si>
    <t>East Suffolk and North Essex NHS Foundation Trust</t>
  </si>
  <si>
    <t>4 (3 - 7)</t>
  </si>
  <si>
    <t>4 (2 - 6)</t>
  </si>
  <si>
    <t>7 (5 - 12)</t>
  </si>
  <si>
    <t>5 (3 - 7)</t>
  </si>
  <si>
    <t>3 (2 - 6)</t>
  </si>
  <si>
    <t>4 (2 - 8)</t>
  </si>
  <si>
    <t>6 (5 - 8)</t>
  </si>
  <si>
    <t>3 (2 - 4)</t>
  </si>
  <si>
    <t>6 (5 - 9)</t>
  </si>
  <si>
    <t>7 (5 - 9)</t>
  </si>
  <si>
    <t>3 (2 - 5)</t>
  </si>
  <si>
    <t>2 (1 - 4)</t>
  </si>
  <si>
    <t>5 (3 - 9)</t>
  </si>
  <si>
    <t>4 (2 - 7)</t>
  </si>
  <si>
    <t>4 (3 - 5)</t>
  </si>
  <si>
    <t>1 (1 - 1)</t>
  </si>
  <si>
    <t>7 (5 - 8)</t>
  </si>
  <si>
    <t>8 (5 - 14)</t>
  </si>
  <si>
    <t>4 (2 - 9)</t>
  </si>
  <si>
    <t>RD8</t>
  </si>
  <si>
    <t>RN3</t>
  </si>
  <si>
    <t>RN5</t>
  </si>
  <si>
    <t>2 (1 - 2)</t>
  </si>
  <si>
    <t>1 (1 - 5)</t>
  </si>
  <si>
    <t>1 (1 - 3)</t>
  </si>
  <si>
    <t>2 (1 - 5)</t>
  </si>
  <si>
    <t>2 (1 - 3)</t>
  </si>
  <si>
    <t>3 (2 - 3)</t>
  </si>
  <si>
    <t>1 (1 - 2)</t>
  </si>
  <si>
    <t>6 (3 - 8)</t>
  </si>
  <si>
    <t>8 (6 - 10)</t>
  </si>
  <si>
    <t>3 (1 - 5)</t>
  </si>
  <si>
    <t>2 (2 - 3)</t>
  </si>
  <si>
    <t>5 (2 - 10)</t>
  </si>
  <si>
    <t>8 (5 - 13)</t>
  </si>
  <si>
    <t>8 (6 - 11)</t>
  </si>
  <si>
    <t>2 (1 - 6)</t>
  </si>
  <si>
    <t>3 (1 - 6)</t>
  </si>
  <si>
    <t>3 (3 - 4)</t>
  </si>
  <si>
    <t>3 (3 - 5)</t>
  </si>
  <si>
    <t>8 (7 - 13)</t>
  </si>
  <si>
    <t>2 (2 - 4)</t>
  </si>
  <si>
    <t>6 (5 - 11)</t>
  </si>
  <si>
    <t>7 (6 - 9)</t>
  </si>
  <si>
    <t>6 (5 - 6)</t>
  </si>
  <si>
    <t>9 (8 - 10)</t>
  </si>
  <si>
    <t>7 (6 - 11)</t>
  </si>
  <si>
    <t>8 (6 - 9)</t>
  </si>
  <si>
    <t>7 (6 - 8)</t>
  </si>
  <si>
    <t>7 (6 - 12)</t>
  </si>
  <si>
    <t>6 (5 - 7)</t>
  </si>
  <si>
    <t>8 (7 - 9)</t>
  </si>
  <si>
    <t>7 (5 - 10)</t>
  </si>
  <si>
    <t>8 (7 - 12)</t>
  </si>
  <si>
    <t>8 (7 - 10)</t>
  </si>
  <si>
    <t>9 (8 - 15)</t>
  </si>
  <si>
    <t>6 (3 - 9)</t>
  </si>
  <si>
    <t>8 (8 - 11)</t>
  </si>
  <si>
    <t>10 (7 - 15)</t>
  </si>
  <si>
    <t>N/A</t>
  </si>
  <si>
    <t>9 (6 - 11)</t>
  </si>
  <si>
    <t>8 (6 - 13)</t>
  </si>
  <si>
    <t>9 (8 - 14)</t>
  </si>
  <si>
    <t>Great Western Hospitals NHS Foundation Trust</t>
  </si>
  <si>
    <t>Hampshire Hospitals NHS Foundation Trust</t>
  </si>
  <si>
    <t>&lt;5</t>
  </si>
  <si>
    <t>xx</t>
  </si>
  <si>
    <t>University Hospitals of Derby and Burton NHS Foundation Trust</t>
  </si>
  <si>
    <t>Select Trust</t>
  </si>
  <si>
    <t>NATIONAL</t>
  </si>
  <si>
    <t>Trust N</t>
  </si>
  <si>
    <t>NICE</t>
  </si>
  <si>
    <t>Med Symproc</t>
  </si>
  <si>
    <t>LQErrorBar</t>
  </si>
  <si>
    <t>UQErrorBar</t>
  </si>
  <si>
    <t>AAAMortVol</t>
  </si>
  <si>
    <t>AAAMort</t>
  </si>
  <si>
    <t>procedure_type</t>
  </si>
  <si>
    <t>procedures</t>
  </si>
  <si>
    <t>cea</t>
  </si>
  <si>
    <t>ul998</t>
  </si>
  <si>
    <t>National</t>
  </si>
  <si>
    <t>trust_code</t>
  </si>
  <si>
    <t>surv_num</t>
  </si>
  <si>
    <t>Stroke/Death 30</t>
  </si>
  <si>
    <t>Med AssProc</t>
  </si>
  <si>
    <t>RankN</t>
  </si>
  <si>
    <t>Metric</t>
  </si>
  <si>
    <t>Report Year</t>
  </si>
  <si>
    <t>Trust</t>
  </si>
  <si>
    <t>Quartile</t>
  </si>
  <si>
    <t>Choose Graph</t>
  </si>
  <si>
    <t>LQ AssProc</t>
  </si>
  <si>
    <t>UQ AssProc</t>
  </si>
  <si>
    <t>aaa</t>
  </si>
  <si>
    <t>Mortality Rate</t>
  </si>
  <si>
    <t>elec_ir_surv_num</t>
  </si>
  <si>
    <t>Min</t>
  </si>
  <si>
    <t>Q1</t>
  </si>
  <si>
    <t>Median</t>
  </si>
  <si>
    <t>Q3</t>
  </si>
  <si>
    <t>Max</t>
  </si>
  <si>
    <t>Date of Assessmet Quartile</t>
  </si>
  <si>
    <t>Anaesthetic Review Quartile</t>
  </si>
  <si>
    <t>Pre-op CT/MR Assessment Quartile</t>
  </si>
  <si>
    <t>MDT Quartile</t>
  </si>
  <si>
    <t>9 (8 - 16)</t>
  </si>
  <si>
    <t>8 (8 - 9)</t>
  </si>
  <si>
    <t>7 (7 - 10)</t>
  </si>
  <si>
    <t>7 (6 - 10)</t>
  </si>
  <si>
    <t>10 (7 - 14)</t>
  </si>
  <si>
    <t>8 (7 - 11)</t>
  </si>
  <si>
    <t>9 (7 - 13)</t>
  </si>
  <si>
    <t>3 (1 - 4)</t>
  </si>
  <si>
    <t>5 (4 - 7)</t>
  </si>
  <si>
    <t>Rank</t>
  </si>
  <si>
    <t>9 (7 - 12)</t>
  </si>
  <si>
    <t>Standard</t>
  </si>
  <si>
    <t>CEAMortVol</t>
  </si>
  <si>
    <t>byp</t>
  </si>
  <si>
    <t>ang</t>
  </si>
  <si>
    <t>amp</t>
  </si>
  <si>
    <t>GraphData2</t>
  </si>
  <si>
    <t>Rank2</t>
  </si>
  <si>
    <t>Rank1</t>
  </si>
  <si>
    <t>GraphData1</t>
  </si>
  <si>
    <t>Graph L ErrorBar</t>
  </si>
  <si>
    <t>Graph U ErrorBar</t>
  </si>
  <si>
    <t>ll998</t>
  </si>
  <si>
    <t>Ashford and St Peter's Hospitals NHS Foundation Trust</t>
  </si>
  <si>
    <t>Barking, Havering and Redbridge University Hospitals NHS Trust</t>
  </si>
  <si>
    <t>Cwm Taf Morgannwg University Health Board</t>
  </si>
  <si>
    <t>Doncaster and Bassetlaw Teaching Hospitals NHS Foundation Trust</t>
  </si>
  <si>
    <t>Hull University Teaching Hospitals NHS Trust</t>
  </si>
  <si>
    <t>Liverpool University Hospitals NHS Foundation Trust</t>
  </si>
  <si>
    <t>London North West University Healthcare NHS Trust</t>
  </si>
  <si>
    <t>Milton Keynes University Hospital NHS Foundation Trust</t>
  </si>
  <si>
    <t>Oxford University Hospitals NHS Foundation Trust</t>
  </si>
  <si>
    <t>RVY</t>
  </si>
  <si>
    <t>Southport and Ormskirk Hospital NHS Trust</t>
  </si>
  <si>
    <t>RTP</t>
  </si>
  <si>
    <t>Surrey and Sussex Healthcare NHS Trust</t>
  </si>
  <si>
    <t>RRF</t>
  </si>
  <si>
    <t>Wrightington, Wigan And Leigh NHS Foundation Trust</t>
  </si>
  <si>
    <t>8 (6 - 15)</t>
  </si>
  <si>
    <t>5 (2 - 6)</t>
  </si>
  <si>
    <t>7 (6 - 14)</t>
  </si>
  <si>
    <t>9 (6 - 15)</t>
  </si>
  <si>
    <t>7 (7 - 12)</t>
  </si>
  <si>
    <t>11 (8 - 23)</t>
  </si>
  <si>
    <t>8 (7 - 8)</t>
  </si>
  <si>
    <t>10 (8 - 13)</t>
  </si>
  <si>
    <t>7 (5 - 7)</t>
  </si>
  <si>
    <t>11 (8 - 15)</t>
  </si>
  <si>
    <t>9 (7 - 10)</t>
  </si>
  <si>
    <t>8 (7 - 23)</t>
  </si>
  <si>
    <t>8 (5 - 10)</t>
  </si>
  <si>
    <t>3 (1 - 10)</t>
  </si>
  <si>
    <t>Graph National Standard</t>
  </si>
  <si>
    <t>LQ Symproc</t>
  </si>
  <si>
    <t>LQ Error Bar Symproc</t>
  </si>
  <si>
    <t>UQ Symproc</t>
  </si>
  <si>
    <t>UQ Error Bar Symproc</t>
  </si>
  <si>
    <t>%14 Days LL</t>
  </si>
  <si>
    <t>%14 Days UL</t>
  </si>
  <si>
    <t>% 14 Days LL Error Bar</t>
  </si>
  <si>
    <t>% 14 Days UL Error Bar</t>
  </si>
  <si>
    <t>GraphData</t>
  </si>
  <si>
    <t>AKA:BKA Standard</t>
  </si>
  <si>
    <t>% of patients receiving surgery within 8 weeks of assessment</t>
  </si>
  <si>
    <t>8 (3 - 16)</t>
  </si>
  <si>
    <t>% Adjusted in-hospital mortality (2018-2020)</t>
  </si>
  <si>
    <t>R0B</t>
  </si>
  <si>
    <t>South Tyneside and Sunderland NHS Foundation Trust</t>
  </si>
  <si>
    <t>9 (6 - 17)</t>
  </si>
  <si>
    <t>R0D</t>
  </si>
  <si>
    <t>University Hospitals Dorset NHS Foundation Trust</t>
  </si>
  <si>
    <t>9 (7 - 22)</t>
  </si>
  <si>
    <t>Mid and South Essex NHS Foundation Trust</t>
  </si>
  <si>
    <t>RBQ</t>
  </si>
  <si>
    <t>Liverpool Heart And Chest NHS Foundation Trust</t>
  </si>
  <si>
    <t>10 (9 - 14)</t>
  </si>
  <si>
    <t>8 (3 - 39)</t>
  </si>
  <si>
    <t>8 (2 - 31)</t>
  </si>
  <si>
    <t>7 (6 - 20)</t>
  </si>
  <si>
    <t>10 (7 - 10)</t>
  </si>
  <si>
    <t>18 (18 - 18)</t>
  </si>
  <si>
    <t>RH5</t>
  </si>
  <si>
    <t>Somerset NHS Foundation Trust</t>
  </si>
  <si>
    <t>11 (8 - 14)</t>
  </si>
  <si>
    <t>7 (7 - 7)</t>
  </si>
  <si>
    <t>10 (7 - 11)</t>
  </si>
  <si>
    <t>North Cumbria Integrated Care NHS Foundation Trust</t>
  </si>
  <si>
    <t>10 (9 - 12)</t>
  </si>
  <si>
    <t>1 (0 - 2)</t>
  </si>
  <si>
    <t>5 (4 - 5)</t>
  </si>
  <si>
    <t>8 (4 - 11)</t>
  </si>
  <si>
    <t>7 (6 - 21)</t>
  </si>
  <si>
    <t>13 (12 - 16)</t>
  </si>
  <si>
    <t>RYR</t>
  </si>
  <si>
    <t>University Hospital Sussex NHS Foundation Trust</t>
  </si>
  <si>
    <t>10 (9 - 16)</t>
  </si>
  <si>
    <t>19 (7 - 22)</t>
  </si>
  <si>
    <t>No. of open</t>
  </si>
  <si>
    <t>%EVAR</t>
  </si>
  <si>
    <t>%Open</t>
  </si>
  <si>
    <t>%EVAR Rank</t>
  </si>
  <si>
    <t>Quartiles plot value</t>
  </si>
  <si>
    <t>%EVAR value</t>
  </si>
  <si>
    <t>%EVAR rank</t>
  </si>
  <si>
    <t>All patients receiving surgery within 7 days of referral</t>
  </si>
  <si>
    <t>14 (10 - 21)</t>
  </si>
  <si>
    <t>11 (8 - 16)</t>
  </si>
  <si>
    <t>13 (10 - 19)</t>
  </si>
  <si>
    <t>10 (7 - 13)</t>
  </si>
  <si>
    <t>5 (4 - 9)</t>
  </si>
  <si>
    <t>5 (2 - 11)</t>
  </si>
  <si>
    <t>7 (3 - 16)</t>
  </si>
  <si>
    <t>SY999</t>
  </si>
  <si>
    <t>NHS Dumfries and Galloway</t>
  </si>
  <si>
    <t>Plot 1 Value</t>
  </si>
  <si>
    <t>Plot 1 LQErrorBar</t>
  </si>
  <si>
    <t>Plot 1 UQErrorBar</t>
  </si>
  <si>
    <t>Plot 1 Trust N</t>
  </si>
  <si>
    <t>Trust Code</t>
  </si>
  <si>
    <t>Plot N</t>
  </si>
  <si>
    <t>Graph1 L ErrorBar</t>
  </si>
  <si>
    <t>Graph1 U ErrorBar</t>
  </si>
  <si>
    <t>Plot 2 Value</t>
  </si>
  <si>
    <t>Plot 2 Trust N</t>
  </si>
  <si>
    <t>Plot 2 LErrorBar</t>
  </si>
  <si>
    <t>Plot 2 UErrorBar</t>
  </si>
  <si>
    <t>PlotLErrorBar</t>
  </si>
  <si>
    <t>PlotUErrorBar</t>
  </si>
  <si>
    <t>6 (4 - 8)</t>
  </si>
  <si>
    <t>L ErrorBar</t>
  </si>
  <si>
    <t>U ErrorBar</t>
  </si>
  <si>
    <t>CLTI Rank</t>
  </si>
  <si>
    <t>% Open</t>
  </si>
  <si>
    <t>% Hybrid</t>
  </si>
  <si>
    <t>% Endovascular</t>
  </si>
  <si>
    <t>Show in plot?</t>
  </si>
  <si>
    <t>Order</t>
  </si>
  <si>
    <t>Revasc TrustN</t>
  </si>
  <si>
    <t>% Adjusted in-hospital mortality (2019-2021)</t>
  </si>
  <si>
    <t>7 (7 - 9)</t>
  </si>
  <si>
    <t>1 (1 - 2.5)</t>
  </si>
  <si>
    <t>8.5 (6 - 10)</t>
  </si>
  <si>
    <t>2 (2 - 2)</t>
  </si>
  <si>
    <t>6 (5 - 16)</t>
  </si>
  <si>
    <t>. (. - .)</t>
  </si>
  <si>
    <t>1 (1 - 1.5)</t>
  </si>
  <si>
    <t>8.5 (6 - 11)</t>
  </si>
  <si>
    <t>7.5 (5 - 16)</t>
  </si>
  <si>
    <t>8 (7.5 - 12)</t>
  </si>
  <si>
    <t>8 (8 - 8)</t>
  </si>
  <si>
    <t>RC9</t>
  </si>
  <si>
    <t>Bedfordshire Hospitals NHS Foundation Trust</t>
  </si>
  <si>
    <t>6 (6 - 62)</t>
  </si>
  <si>
    <t>2 (1.5 - 3)</t>
  </si>
  <si>
    <t>7 (6.5 - 19.5)</t>
  </si>
  <si>
    <t>3.5 (1 - 6)</t>
  </si>
  <si>
    <t>7.5 (5 - 10.5)</t>
  </si>
  <si>
    <t>19.5 (8 - 31)</t>
  </si>
  <si>
    <t>11 (7 - 44)</t>
  </si>
  <si>
    <t>16 (16 - 16)</t>
  </si>
  <si>
    <t>1.5 (1 - 2)</t>
  </si>
  <si>
    <t>7.5 (7 - 9)</t>
  </si>
  <si>
    <t>RM3</t>
  </si>
  <si>
    <t>Northern Care Alliance NHS Foundation Trust</t>
  </si>
  <si>
    <t>6 (6 - 9)</t>
  </si>
  <si>
    <t>7.5 (7 - 12.5)</t>
  </si>
  <si>
    <t>RNN</t>
  </si>
  <si>
    <t>6.5 (5.5 - 7.5)</t>
  </si>
  <si>
    <t>1.5 (1 - 3)</t>
  </si>
  <si>
    <t>1.5 (1 - 2.5)</t>
  </si>
  <si>
    <t>7.5 (5.5 - 13)</t>
  </si>
  <si>
    <t>6 (4 - 27)</t>
  </si>
  <si>
    <t>11.5 (10 - 13)</t>
  </si>
  <si>
    <t>7.5 (5 - 11.5)</t>
  </si>
  <si>
    <t>7.5 (6 - 10.5)</t>
  </si>
  <si>
    <t>8 (6.5 - 11.5)</t>
  </si>
  <si>
    <t>2 (1 - 3.5)</t>
  </si>
  <si>
    <t>13.5 (9 - 15)</t>
  </si>
  <si>
    <t>8 (7.5 - 9)</t>
  </si>
  <si>
    <t>2.5 (2 - 3.5)</t>
  </si>
  <si>
    <t>9 (7 - 9)</t>
  </si>
  <si>
    <t>3 (3 - 3)</t>
  </si>
  <si>
    <t>12 (9.5 - 18)</t>
  </si>
  <si>
    <t>5 (1 - 9)</t>
  </si>
  <si>
    <t>7 (4 - 9)</t>
  </si>
  <si>
    <t>West Hertfordshire Teaching Hospitals NHS Trust</t>
  </si>
  <si>
    <t>AKA:BKA 2021
Rank</t>
  </si>
  <si>
    <t>8 (2 - 18)</t>
  </si>
  <si>
    <t>22 (15 - 32)</t>
  </si>
  <si>
    <t>23 (14 - 37)</t>
  </si>
  <si>
    <t>21 (12 - 34)</t>
  </si>
  <si>
    <t>23 (15 - 35)</t>
  </si>
  <si>
    <t>13 (10 - 22)</t>
  </si>
  <si>
    <t>Funnel Plot X axis Value</t>
  </si>
  <si>
    <t>CLTI Waiting Time Median</t>
  </si>
  <si>
    <t>CLTI Waiting Time LQ</t>
  </si>
  <si>
    <t>CLTI Wating Time UQ</t>
  </si>
  <si>
    <t>CLTI Waiting Time Lower Error Bar</t>
  </si>
  <si>
    <t>CLTI Waiting Time Upper Error Bar</t>
  </si>
  <si>
    <t>Treated within 5 days Lower CI</t>
  </si>
  <si>
    <t>Treated within 5 days Upper CI</t>
  </si>
  <si>
    <t>Treated within 5 days Lower Error Bar</t>
  </si>
  <si>
    <t>Treated within 5 days Upper Error Bar</t>
  </si>
  <si>
    <t>CLTI Graph Upper Error Bar</t>
  </si>
  <si>
    <t>CLTI Graph Value</t>
  </si>
  <si>
    <t>N/</t>
  </si>
  <si>
    <t>CLTI Graph Lower Error Bar</t>
  </si>
  <si>
    <t>Trust Open</t>
  </si>
  <si>
    <t>Trust Hybrid</t>
  </si>
  <si>
    <t>Trust Endo</t>
  </si>
  <si>
    <t>NVR angio cases 2020</t>
  </si>
  <si>
    <t>NVR angio cases 2021</t>
  </si>
  <si>
    <t>Adjusted in-hospital mortality angio</t>
  </si>
  <si>
    <t>Day Case Graph Order</t>
  </si>
  <si>
    <t>Day Case Lower 95% CI</t>
  </si>
  <si>
    <t>Day Case Upper 95% CI</t>
  </si>
  <si>
    <t>Day Case Lower Error Bar</t>
  </si>
  <si>
    <t>Day Case Upper Error Bar</t>
  </si>
  <si>
    <t>Plot Value</t>
  </si>
  <si>
    <t>NVR bypass cases 2020</t>
  </si>
  <si>
    <t>NVR bypass cases 2021</t>
  </si>
  <si>
    <t>8 (4 - 16)</t>
  </si>
  <si>
    <r>
      <t xml:space="preserve">Lower 95% CI AssProc </t>
    </r>
    <r>
      <rPr>
        <b/>
        <sz val="11"/>
        <color rgb="FF000000"/>
        <rFont val="Calibri"/>
        <family val="2"/>
      </rPr>
      <t>≤30 days</t>
    </r>
  </si>
  <si>
    <r>
      <t xml:space="preserve">Upper 95% CI AssProc </t>
    </r>
    <r>
      <rPr>
        <b/>
        <sz val="11"/>
        <color rgb="FF000000"/>
        <rFont val="Calibri"/>
        <family val="2"/>
      </rPr>
      <t>≤30 days</t>
    </r>
  </si>
  <si>
    <t>AssProc Lower Error Bar</t>
  </si>
  <si>
    <t>AssProc Upper Error Bar</t>
  </si>
  <si>
    <t>%EVAR Lower 95% CI</t>
  </si>
  <si>
    <t>%EVAR Upper 95% CI</t>
  </si>
  <si>
    <t>%EVAR Lower 95% CI Error Bar</t>
  </si>
  <si>
    <t>%EVAR Upper 95% CI Error Bar</t>
  </si>
  <si>
    <t>AssProc LQ Error Bar</t>
  </si>
  <si>
    <t>AssProc UQ Error Bar</t>
  </si>
  <si>
    <t>% of patients receiving surgery within 8 weeks of assessment Lower 95% CI</t>
  </si>
  <si>
    <t>% of patients receiving surgery within 8 weeks of assessment Upper 95% CI</t>
  </si>
  <si>
    <t>AssProc &lt;8 weeks Upper ErrorBar</t>
  </si>
  <si>
    <t>AssProc &lt;8 weeks Lower ErrorBar</t>
  </si>
  <si>
    <t>89 (45 - 161)</t>
  </si>
  <si>
    <t>52 (28 - 93)</t>
  </si>
  <si>
    <t>72 (33 - 170)</t>
  </si>
  <si>
    <t>127 (75 - 184)</t>
  </si>
  <si>
    <t>100 (55 - 151)</t>
  </si>
  <si>
    <t>68 (43 - 127)</t>
  </si>
  <si>
    <t>126 (72 - 194)</t>
  </si>
  <si>
    <t>68 (30 - 98)</t>
  </si>
  <si>
    <t>75 (38 - 106)</t>
  </si>
  <si>
    <t>134 (100 - 204)</t>
  </si>
  <si>
    <t>88 (42 - 134)</t>
  </si>
  <si>
    <t>101 (49 - 179)</t>
  </si>
  <si>
    <t>77 (34 - 129)</t>
  </si>
  <si>
    <t>135 (41 - 229)</t>
  </si>
  <si>
    <t>35 (16 - 69)</t>
  </si>
  <si>
    <t>74 (29 - 148)</t>
  </si>
  <si>
    <t>114 (57 - 188)</t>
  </si>
  <si>
    <t>149 (74 - 212)</t>
  </si>
  <si>
    <t>61 (25 - 124)</t>
  </si>
  <si>
    <t>80 (46 - 134)</t>
  </si>
  <si>
    <t>94 (57 - 131)</t>
  </si>
  <si>
    <t>159 (91 - 270)</t>
  </si>
  <si>
    <t>89 (51 - 134)</t>
  </si>
  <si>
    <t>78 (54 - 118)</t>
  </si>
  <si>
    <t>83 (49 - 137)</t>
  </si>
  <si>
    <t>140 (89 - 167)</t>
  </si>
  <si>
    <t>48 (36 - 95)</t>
  </si>
  <si>
    <t>61 (49 - 97)</t>
  </si>
  <si>
    <t>116 (51 - 222)</t>
  </si>
  <si>
    <t>78 (57 - 137)</t>
  </si>
  <si>
    <t>148 (132 - 216)</t>
  </si>
  <si>
    <t>65 (32 - 107)</t>
  </si>
  <si>
    <t>78 (44 - 128)</t>
  </si>
  <si>
    <t>83 (49 - 117)</t>
  </si>
  <si>
    <t>82 (54 - 147)</t>
  </si>
  <si>
    <t>66 (34 - 101)</t>
  </si>
  <si>
    <t>71 (48 - 98)</t>
  </si>
  <si>
    <t>126 (59 - 222)</t>
  </si>
  <si>
    <t>69 (37 - 130)</t>
  </si>
  <si>
    <t>50 (27 - 77)</t>
  </si>
  <si>
    <t>64 (40 - 108)</t>
  </si>
  <si>
    <t>85 (44 - 123)</t>
  </si>
  <si>
    <t>167 (115 - 309)</t>
  </si>
  <si>
    <t>96 (55 - 154)</t>
  </si>
  <si>
    <t>107 (76 - 154)</t>
  </si>
  <si>
    <t>65 (45 - 101)</t>
  </si>
  <si>
    <t>75 (46 - 129)</t>
  </si>
  <si>
    <t>211 (112 - 271)</t>
  </si>
  <si>
    <t>90 (56 - 131)</t>
  </si>
  <si>
    <t>96 (63 - 110)</t>
  </si>
  <si>
    <t>119 (71 - 194)</t>
  </si>
  <si>
    <t>69 (38 - 108)</t>
  </si>
  <si>
    <t>154 (71 - 218)</t>
  </si>
  <si>
    <t>197 (76 - 303)</t>
  </si>
  <si>
    <t>96 (65 - 144)</t>
  </si>
  <si>
    <t>81 (48 - 148)</t>
  </si>
  <si>
    <t>101 (53 - 148)</t>
  </si>
  <si>
    <t>100 (67 - 219)</t>
  </si>
  <si>
    <t>63 (35 - 89)</t>
  </si>
  <si>
    <t>127 (48 - 247)</t>
  </si>
  <si>
    <t>53 (33 - 95)</t>
  </si>
  <si>
    <t>113 (68 - 177)</t>
  </si>
  <si>
    <t>AssProc Plot Order</t>
  </si>
  <si>
    <t>Treated within 5 days</t>
  </si>
  <si>
    <t>Risk-adjusted in-hospital mortality (2020-2022)</t>
  </si>
  <si>
    <t>Trust name</t>
  </si>
  <si>
    <t>% of Patients Receiving Surgery Within 8 Weeks of Assessment</t>
  </si>
  <si>
    <t>% Adjusted in-hospital mortality (2020-2022)</t>
  </si>
  <si>
    <t>74 (31 - 156)</t>
  </si>
  <si>
    <t>187 (96 - 328)</t>
  </si>
  <si>
    <t>128 (78 - 164)</t>
  </si>
  <si>
    <t>84 (49 - 141)</t>
  </si>
  <si>
    <t>69 (43 - 117)</t>
  </si>
  <si>
    <t>84 (43 - 140)</t>
  </si>
  <si>
    <t>13 (7 - 17)</t>
  </si>
  <si>
    <t>53 (39 - 84)</t>
  </si>
  <si>
    <t>107 (59 - 157)</t>
  </si>
  <si>
    <t>11 (6 - 31)</t>
  </si>
  <si>
    <t>104 (55 - 189)</t>
  </si>
  <si>
    <t>9 (5 - 25)</t>
  </si>
  <si>
    <t>59 (35 - 124)</t>
  </si>
  <si>
    <t>8 (6 - 8)</t>
  </si>
  <si>
    <t>70 (30 - 107)</t>
  </si>
  <si>
    <t>2 (1 - 6.5)</t>
  </si>
  <si>
    <t>60 (35 - 110)</t>
  </si>
  <si>
    <t>8 (6 - 16)</t>
  </si>
  <si>
    <t>98 (34 - 171)</t>
  </si>
  <si>
    <t>50 (40 - 83)</t>
  </si>
  <si>
    <t>7 (6 - 7)</t>
  </si>
  <si>
    <t>146 (76 - 207)</t>
  </si>
  <si>
    <t>71 (60 - 147)</t>
  </si>
  <si>
    <t>95 (56 - 141)</t>
  </si>
  <si>
    <t>69 (47 - 111)</t>
  </si>
  <si>
    <t>Royal Devon University Healthcare NHS Foundation Trust</t>
  </si>
  <si>
    <t>47 (35 - 68)</t>
  </si>
  <si>
    <t>1 (1 - 4)</t>
  </si>
  <si>
    <t>65 (45 - 95)</t>
  </si>
  <si>
    <t>56 (35 - 101)</t>
  </si>
  <si>
    <t>111 (70 - 156)</t>
  </si>
  <si>
    <t>74 (49 - 103)</t>
  </si>
  <si>
    <t>103 (43 - 182)</t>
  </si>
  <si>
    <t>59 (27 - 111)</t>
  </si>
  <si>
    <t>69 (46 - 113)</t>
  </si>
  <si>
    <t>104 (65 - 145)</t>
  </si>
  <si>
    <t>41 (23 - 80)</t>
  </si>
  <si>
    <t>61 (48 - 103)</t>
  </si>
  <si>
    <t>2 (1.5 - 3.5)</t>
  </si>
  <si>
    <t>48 (14 - 115)</t>
  </si>
  <si>
    <t>7 (7 - 8)</t>
  </si>
  <si>
    <t>93 (62 - 194)</t>
  </si>
  <si>
    <t>7 (5 - 11)</t>
  </si>
  <si>
    <t>84 (46 - 119)</t>
  </si>
  <si>
    <t>7 (6 - 13)</t>
  </si>
  <si>
    <t>7 (7 - 17)</t>
  </si>
  <si>
    <t>2 (1.5 - 4)</t>
  </si>
  <si>
    <t>69 (42 - 146)</t>
  </si>
  <si>
    <t>125 (80 - 257)</t>
  </si>
  <si>
    <t>89 (49 - 163)</t>
  </si>
  <si>
    <t>77 (32 - 122)</t>
  </si>
  <si>
    <t>6 (6 - 8)</t>
  </si>
  <si>
    <t>66 (29 - 139)</t>
  </si>
  <si>
    <t>118 (63 - 193)</t>
  </si>
  <si>
    <t>98 (64 - 176)</t>
  </si>
  <si>
    <t>90 (63 - 141)</t>
  </si>
  <si>
    <t>7 (6 - 25)</t>
  </si>
  <si>
    <t>78 (49 - 114)</t>
  </si>
  <si>
    <t>2.5 (1 - 4)</t>
  </si>
  <si>
    <t>90 (58 - 116)</t>
  </si>
  <si>
    <t>2 (0 - 3)</t>
  </si>
  <si>
    <t>106 (59 - 186)</t>
  </si>
  <si>
    <t>111 (86 - 185)</t>
  </si>
  <si>
    <t>11 (7 - 13)</t>
  </si>
  <si>
    <t>78 (32 - 108)</t>
  </si>
  <si>
    <t>7 (6 - 15)</t>
  </si>
  <si>
    <t>79 (51 - 150)</t>
  </si>
  <si>
    <t>69 (34 - 113)</t>
  </si>
  <si>
    <t>86 (53 - 110)</t>
  </si>
  <si>
    <t>2.5 (2 - 3)</t>
  </si>
  <si>
    <t>77 (38 - 126)</t>
  </si>
  <si>
    <t>57 (31 - 87)</t>
  </si>
  <si>
    <t>75 (44 - 153)</t>
  </si>
  <si>
    <t>92 (53 - 122)</t>
  </si>
  <si>
    <t>2 (2 - 5)</t>
  </si>
  <si>
    <t>16 (8 - 22)</t>
  </si>
  <si>
    <t>131 (90 - 166)</t>
  </si>
  <si>
    <t>52 (33 - 107)</t>
  </si>
  <si>
    <t>52 (19 - 105)</t>
  </si>
  <si>
    <t>147 (90 - 248)</t>
  </si>
  <si>
    <t>101 (52 - 120)</t>
  </si>
  <si>
    <t>157 (102 - 177)</t>
  </si>
  <si>
    <t>9 (8 - 12)</t>
  </si>
  <si>
    <t>148 (85 - 204)</t>
  </si>
  <si>
    <t>% Adjusted Stroke and/or death  rate (2020-2022)</t>
  </si>
  <si>
    <t>13 (11 - 17)</t>
  </si>
  <si>
    <t>16 (10 - 22)</t>
  </si>
  <si>
    <t>12 (7 - 16)</t>
  </si>
  <si>
    <t>23 (15 - 34)</t>
  </si>
  <si>
    <t>22 (14 - 35)</t>
  </si>
  <si>
    <t>14 (10 - 25)</t>
  </si>
  <si>
    <t>12 (8 - 13)</t>
  </si>
  <si>
    <t>4 (1 - 11)</t>
  </si>
  <si>
    <t>11 (7 - 16)</t>
  </si>
  <si>
    <t>20 (14 - 25)</t>
  </si>
  <si>
    <t>18 (11 - 26)</t>
  </si>
  <si>
    <t>5 (4 - 8)</t>
  </si>
  <si>
    <t>17 (11 - 43)</t>
  </si>
  <si>
    <t>12 (8 - 17)</t>
  </si>
  <si>
    <t>19 (13 - 32)</t>
  </si>
  <si>
    <t>19 (11 - 36)</t>
  </si>
  <si>
    <t>21 (12 - 39)</t>
  </si>
  <si>
    <t>14 (10 - 22)</t>
  </si>
  <si>
    <t>14 (8 - 21)</t>
  </si>
  <si>
    <t>15 (11 - 24)</t>
  </si>
  <si>
    <t>20 (11 - 44)</t>
  </si>
  <si>
    <t>19 (14 - 43)</t>
  </si>
  <si>
    <t>11 (9 - 15)</t>
  </si>
  <si>
    <t>10 (8 - 15)</t>
  </si>
  <si>
    <t>17 (13 - 31)</t>
  </si>
  <si>
    <t>17 (7 - 36)</t>
  </si>
  <si>
    <t>15 (8 - 28)</t>
  </si>
  <si>
    <t>12 (8 - 26)</t>
  </si>
  <si>
    <t>18 (9 - 56)</t>
  </si>
  <si>
    <t>16 (9 - 21)</t>
  </si>
  <si>
    <t>10 (6 - 13)</t>
  </si>
  <si>
    <t>18 (10 - 39)</t>
  </si>
  <si>
    <t>11 (8 - 18)</t>
  </si>
  <si>
    <t>25 (24 - 29)</t>
  </si>
  <si>
    <t>3 (1 - 7)</t>
  </si>
  <si>
    <t>13 (10 - 14)</t>
  </si>
  <si>
    <t>13 (7 - 27)</t>
  </si>
  <si>
    <t>9 (6 - 16)</t>
  </si>
  <si>
    <t>15 (10 - 29)</t>
  </si>
  <si>
    <t>10 (5 - 19)</t>
  </si>
  <si>
    <t>14 (8 - 26)</t>
  </si>
  <si>
    <t>24 (16 - 35)</t>
  </si>
  <si>
    <t>13 (9 - 16)</t>
  </si>
  <si>
    <t>11 (7 - 14)</t>
  </si>
  <si>
    <t>11 (7 - 18)</t>
  </si>
  <si>
    <t>27 (12 - 43)</t>
  </si>
  <si>
    <t>2 (1 - 8)</t>
  </si>
  <si>
    <t>12 (9 - 17)</t>
  </si>
  <si>
    <t>16 (10 - 49)</t>
  </si>
  <si>
    <t>2 (2 - 6)</t>
  </si>
  <si>
    <t>19 (12 - 27)</t>
  </si>
  <si>
    <t>15 (12 - 26)</t>
  </si>
  <si>
    <t>14 (6 - 37)</t>
  </si>
  <si>
    <t>11 (10 - 15)</t>
  </si>
  <si>
    <t>14 (11 - 18)</t>
  </si>
  <si>
    <t>43 (23 - 64)</t>
  </si>
  <si>
    <t>21 (10 - 30)</t>
  </si>
  <si>
    <t>14 (9 - 25)</t>
  </si>
  <si>
    <t>ul95</t>
  </si>
  <si>
    <t>ll95</t>
  </si>
  <si>
    <t>Graph Rank</t>
  </si>
  <si>
    <t>AssProc Standard</t>
  </si>
  <si>
    <t>AssProc &lt;8 weeks standard</t>
  </si>
  <si>
    <t>AssProc Value</t>
  </si>
  <si>
    <t>AssProcRank</t>
  </si>
  <si>
    <t>Median Time (IQR) From Assessment to Procedure (days)</t>
  </si>
  <si>
    <t>Trust Upper Error Bar</t>
  </si>
  <si>
    <t>Trust Lower Error Bar</t>
  </si>
  <si>
    <t>87 (48 - 146)</t>
  </si>
  <si>
    <t>Total lower limb revascularisation procedures
2022</t>
  </si>
  <si>
    <t>Open
2022</t>
  </si>
  <si>
    <t>Hybrid
2022</t>
  </si>
  <si>
    <t>Endovascular
2022</t>
  </si>
  <si>
    <t>CLTI waiting time cases 2022</t>
  </si>
  <si>
    <t>CLTI waiting tIme (IQR) (days) 
2022</t>
  </si>
  <si>
    <t>% CLTI treated within 5 days 2022</t>
  </si>
  <si>
    <t>NVR cases
2022</t>
  </si>
  <si>
    <t>NVR cases
2020-2022</t>
  </si>
  <si>
    <t>Day Cases
2022</t>
  </si>
  <si>
    <t>Median (IQR) length of stay (days)
2022</t>
  </si>
  <si>
    <t>% Adjusted in-hospital mortality
2020-2022</t>
  </si>
  <si>
    <t>Readmission within 30 days
2022</t>
  </si>
  <si>
    <t>% Adjusted in-hospital mortality 2020-2022</t>
  </si>
  <si>
    <t>NVR Cases in 2022</t>
  </si>
  <si>
    <t>Median (IQR delay from vascular assessment to ampuation (days) for non-elective admissions (2022)</t>
  </si>
  <si>
    <t>Median (IQR) length of stay (days)
(2022)</t>
  </si>
  <si>
    <t>AKA:BKA
(2022)</t>
  </si>
  <si>
    <t>% Consultant Present in Theatre
(2022)</t>
  </si>
  <si>
    <t>% Prophylactic Antibiotics (2022)</t>
  </si>
  <si>
    <t>Adjusted 30 day in-hospital mortality
(2020-2022)</t>
  </si>
  <si>
    <t>7 (3 - 20)</t>
  </si>
  <si>
    <t>22 (14 - 38)</t>
  </si>
  <si>
    <t>AssAmp rank 2021</t>
  </si>
  <si>
    <t>AssAmpValue</t>
  </si>
  <si>
    <t>AssAmp Lower Error Bar</t>
  </si>
  <si>
    <t>AssAmp Upper Error Bar</t>
  </si>
  <si>
    <t>AKA:BKA 2021</t>
  </si>
  <si>
    <t>AKA:BKA 2021 Lower Error Bar</t>
  </si>
  <si>
    <t>AKA:BKA 2021 Upper Error Bar</t>
  </si>
  <si>
    <t>Median (IQR delay from vascular assessment to ampuation (days) for non-elective admissions  2022</t>
  </si>
  <si>
    <t>Median (IQR) length of stay (days)  2022</t>
  </si>
  <si>
    <t>% Consultant Present in Theatre 2022</t>
  </si>
  <si>
    <t>% Prophylactic Antibiotics 2022</t>
  </si>
  <si>
    <t>% Adjusted 30 day in-hospital mortality 2020-2022</t>
  </si>
  <si>
    <t>6 (2 - 21)</t>
  </si>
  <si>
    <t>9 (2 - 18)</t>
  </si>
  <si>
    <t>15 (5 - 35)</t>
  </si>
  <si>
    <t>12 (5 - 21)</t>
  </si>
  <si>
    <t>7 (2 - 14)</t>
  </si>
  <si>
    <t>7 (2 - 12)</t>
  </si>
  <si>
    <t>10 (3 - 21)</t>
  </si>
  <si>
    <t>6 (1 - 12)</t>
  </si>
  <si>
    <t>5 (2 - 18)</t>
  </si>
  <si>
    <t>8 (2 - 16)</t>
  </si>
  <si>
    <t>6 (1 - 9)</t>
  </si>
  <si>
    <t>8 (4 - 43)</t>
  </si>
  <si>
    <t>16 (13 - 45)</t>
  </si>
  <si>
    <t>12 (5 - 28)</t>
  </si>
  <si>
    <t>10 (3 - 17)</t>
  </si>
  <si>
    <t>7 (3 - 17)</t>
  </si>
  <si>
    <t>4 (1 - 10)</t>
  </si>
  <si>
    <t>11 (3 - 31)</t>
  </si>
  <si>
    <t>8 (4 - 18)</t>
  </si>
  <si>
    <t>3 (1 - 28)</t>
  </si>
  <si>
    <t>7 (3 - 50)</t>
  </si>
  <si>
    <t>13 (5 - 27)</t>
  </si>
  <si>
    <t>16 (6 - 60)</t>
  </si>
  <si>
    <t>12 (6 - 43)</t>
  </si>
  <si>
    <t>5 (1 - 14)</t>
  </si>
  <si>
    <t>8 (4 - 19)</t>
  </si>
  <si>
    <t>11 (5 - 23)</t>
  </si>
  <si>
    <t>13 (3 - 45)</t>
  </si>
  <si>
    <t>7 (2 - 13)</t>
  </si>
  <si>
    <t>14 (4 - 73)</t>
  </si>
  <si>
    <t>7 (1 - 12)</t>
  </si>
  <si>
    <t>9 (4 - 17)</t>
  </si>
  <si>
    <t>8 (2 - 20)</t>
  </si>
  <si>
    <t>11 (3 - 37)</t>
  </si>
  <si>
    <t>8 (2 - 30)</t>
  </si>
  <si>
    <t>25 (15 - 54)</t>
  </si>
  <si>
    <t>5 (2 - 29)</t>
  </si>
  <si>
    <t>8 (3 - 21)</t>
  </si>
  <si>
    <t>8 (3 - 32)</t>
  </si>
  <si>
    <t>6 (5 - 14)</t>
  </si>
  <si>
    <t>13 (7 - 37)</t>
  </si>
  <si>
    <t>3 (2 - 8)</t>
  </si>
  <si>
    <t>9 (2 - 23)</t>
  </si>
  <si>
    <t>13 (4 - 41)</t>
  </si>
  <si>
    <t>14 (3 - 79)</t>
  </si>
  <si>
    <t>35 (22 - 57)</t>
  </si>
  <si>
    <t>45 (24 - 75)</t>
  </si>
  <si>
    <t>22 (12 - 31)</t>
  </si>
  <si>
    <t>17 (11 - 26)</t>
  </si>
  <si>
    <t>29 (20 - 46)</t>
  </si>
  <si>
    <t>27 (17 - 39)</t>
  </si>
  <si>
    <t>22 (14 - 29)</t>
  </si>
  <si>
    <t>21 (15 - 37)</t>
  </si>
  <si>
    <t>20 (13 - 32)</t>
  </si>
  <si>
    <t>22 (10 - 31)</t>
  </si>
  <si>
    <t>25 (20 - 52)</t>
  </si>
  <si>
    <t>32 (17 - 61)</t>
  </si>
  <si>
    <t>21 (14 - 31)</t>
  </si>
  <si>
    <t>27 (19 - 49)</t>
  </si>
  <si>
    <t>29 (18 - 42)</t>
  </si>
  <si>
    <t>36 (23 - 53)</t>
  </si>
  <si>
    <t>13 (9 - 20)</t>
  </si>
  <si>
    <t>31 (15 - 52)</t>
  </si>
  <si>
    <t>32 (23 - 55)</t>
  </si>
  <si>
    <t>26 (19 - 41)</t>
  </si>
  <si>
    <t>22 (14 - 37)</t>
  </si>
  <si>
    <t>34 (18 - 51)</t>
  </si>
  <si>
    <t>34 (24 - 70)</t>
  </si>
  <si>
    <t>25 (16 - 62)</t>
  </si>
  <si>
    <t>82 (69 - 95)</t>
  </si>
  <si>
    <t>23 (14 - 40)</t>
  </si>
  <si>
    <t>33 (5 - 56)</t>
  </si>
  <si>
    <t>47 (35 - 67)</t>
  </si>
  <si>
    <t>21 (14 - 41)</t>
  </si>
  <si>
    <t>16 (11 - 32)</t>
  </si>
  <si>
    <t>40 (22 - 68)</t>
  </si>
  <si>
    <t>14 (9 - 20)</t>
  </si>
  <si>
    <t>21 (14 - 29)</t>
  </si>
  <si>
    <t>28 (12 - 49)</t>
  </si>
  <si>
    <t>26 (15 - 43)</t>
  </si>
  <si>
    <t>17 (9 - 29)</t>
  </si>
  <si>
    <t>52 (22 - 83)</t>
  </si>
  <si>
    <t>21 (9 - 32)</t>
  </si>
  <si>
    <t>27 (14 - 46)</t>
  </si>
  <si>
    <t>45 (35 - 73)</t>
  </si>
  <si>
    <t>24 (14 - 36)</t>
  </si>
  <si>
    <t>20 (13 - 28)</t>
  </si>
  <si>
    <t>25 (20 - 35)</t>
  </si>
  <si>
    <t>21 (15 - 35)</t>
  </si>
  <si>
    <t>39 (24 - 61)</t>
  </si>
  <si>
    <t>35 (17 - 78)</t>
  </si>
  <si>
    <t>24 (14 - 41)</t>
  </si>
  <si>
    <t>18 (14 - 30)</t>
  </si>
  <si>
    <t>34 (22 - 42)</t>
  </si>
  <si>
    <t>15 (10 - 28)</t>
  </si>
  <si>
    <t>17 (13 - 27)</t>
  </si>
  <si>
    <t>18 (13 - 28)</t>
  </si>
  <si>
    <t>22 (13 - 47)</t>
  </si>
  <si>
    <t>12 (8 - 19)</t>
  </si>
  <si>
    <t>20 (14 - 34)</t>
  </si>
  <si>
    <t>18 (11 - 29)</t>
  </si>
  <si>
    <t>23 (8 - 46)</t>
  </si>
  <si>
    <t>73 (39 - 84)</t>
  </si>
  <si>
    <t>17 (13 - 24)</t>
  </si>
  <si>
    <r>
      <t xml:space="preserve">% patients with time to amputation from assessment </t>
    </r>
    <r>
      <rPr>
        <b/>
        <sz val="11"/>
        <color rgb="FF000000"/>
        <rFont val="Calibri"/>
        <family val="2"/>
      </rPr>
      <t>≤</t>
    </r>
    <r>
      <rPr>
        <b/>
        <sz val="11"/>
        <color rgb="FF000000"/>
        <rFont val="Calibri"/>
        <family val="2"/>
        <scheme val="minor"/>
      </rPr>
      <t>30 days  for non-elective admissions  2022</t>
    </r>
  </si>
  <si>
    <t>NVR Cases 2022</t>
  </si>
  <si>
    <t>NVR Cases 2020-2022</t>
  </si>
  <si>
    <t>AKA 2022</t>
  </si>
  <si>
    <t>BKA 2022</t>
  </si>
  <si>
    <t>AKA:BKA  2022</t>
  </si>
  <si>
    <t>AKA:BKA 2022 95CILower</t>
  </si>
  <si>
    <t>AKA:BKA 2022 95CIUpper</t>
  </si>
  <si>
    <t>Consultant present in theatre 2022 quartile</t>
  </si>
  <si>
    <t>Prophylactic antibiotics 2022 quartile</t>
  </si>
  <si>
    <t>Med Assessment to amputation 2022</t>
  </si>
  <si>
    <t>LQ Assessment to amputation 2022</t>
  </si>
  <si>
    <t>LQ Error Assessment to amputation 2022</t>
  </si>
  <si>
    <t>UQ Assessment to amputation 2022</t>
  </si>
  <si>
    <t>UQ Error Assessment to amputation 2022</t>
  </si>
  <si>
    <t>Assessment to amputation rank 2022</t>
  </si>
  <si>
    <t>AKA:BKA2022LowerErrorBar</t>
  </si>
  <si>
    <t>AKA:BKA2022UpperErrorBar</t>
  </si>
  <si>
    <t>AKA:BKA 2022
Rank</t>
  </si>
  <si>
    <t>1 (0-11)</t>
  </si>
  <si>
    <t>5 (3-8)</t>
  </si>
  <si>
    <t>6 (3-10)</t>
  </si>
  <si>
    <t>8 (4-15)</t>
  </si>
  <si>
    <t>6 (4-8)</t>
  </si>
  <si>
    <t>6 (3-11)</t>
  </si>
  <si>
    <t>RGM</t>
  </si>
  <si>
    <t>Royal Papworth Hospital NHS Foundation Trust</t>
  </si>
  <si>
    <t>8 (4-14)</t>
  </si>
  <si>
    <t>NVR bypass cases 2020-2022</t>
  </si>
  <si>
    <t>NVR bypass cases 2022</t>
  </si>
  <si>
    <t>Median (IQR) length of stay (days) 2022 bypass</t>
  </si>
  <si>
    <t>Readmission denominator bypass 2022</t>
  </si>
  <si>
    <t>30-day readmission 2022 bypass</t>
  </si>
  <si>
    <t>Adjusted in-hospital mortality bypass 2020-2022</t>
  </si>
  <si>
    <t>9 (5-18)</t>
  </si>
  <si>
    <t>15 (7-28)</t>
  </si>
  <si>
    <t>5 (2-13)</t>
  </si>
  <si>
    <t>10 (6-23)</t>
  </si>
  <si>
    <t>13 (5-26)</t>
  </si>
  <si>
    <t>8 (5-16)</t>
  </si>
  <si>
    <t>7 (4-14)</t>
  </si>
  <si>
    <t>9 (6-21)</t>
  </si>
  <si>
    <t>8 (4-17)</t>
  </si>
  <si>
    <t>9 (6-20)</t>
  </si>
  <si>
    <t>7 (4-19)</t>
  </si>
  <si>
    <t>8 (4-21)</t>
  </si>
  <si>
    <t>10 (4-20)</t>
  </si>
  <si>
    <t>6 (2-12)</t>
  </si>
  <si>
    <t>7 (3-15)</t>
  </si>
  <si>
    <t>12 (5-25)</t>
  </si>
  <si>
    <t>9 (5-16)</t>
  </si>
  <si>
    <t>10 (5-21)</t>
  </si>
  <si>
    <t>11 (6-30)</t>
  </si>
  <si>
    <t>9 (4-17)</t>
  </si>
  <si>
    <t>8 (4-19)</t>
  </si>
  <si>
    <t>8 (4-20)</t>
  </si>
  <si>
    <t>8 (3-13)</t>
  </si>
  <si>
    <t>5 (3-11)</t>
  </si>
  <si>
    <t>5 (3-14)</t>
  </si>
  <si>
    <t>8 (3-19)</t>
  </si>
  <si>
    <t>13 (7-16)</t>
  </si>
  <si>
    <t>7 (4-11)</t>
  </si>
  <si>
    <t>8 (5-15)</t>
  </si>
  <si>
    <t>8 (5-18)</t>
  </si>
  <si>
    <t>7 (4-24)</t>
  </si>
  <si>
    <t>11 (5-21)</t>
  </si>
  <si>
    <t>18 (8-37)</t>
  </si>
  <si>
    <t>4 (3-10)</t>
  </si>
  <si>
    <t>16 (3-42)</t>
  </si>
  <si>
    <t>7 (4-15)</t>
  </si>
  <si>
    <t>5 (2-11)</t>
  </si>
  <si>
    <t>9 (5-22)</t>
  </si>
  <si>
    <t>7 (3-16)</t>
  </si>
  <si>
    <t>8 (3-17)</t>
  </si>
  <si>
    <t>6 (3-14)</t>
  </si>
  <si>
    <t>2 (2-4)</t>
  </si>
  <si>
    <t>13 (6-17)</t>
  </si>
  <si>
    <t>6 (3-12)</t>
  </si>
  <si>
    <t>13 (7-27)</t>
  </si>
  <si>
    <t>10 (5-16)</t>
  </si>
  <si>
    <t>8 (5-24)</t>
  </si>
  <si>
    <t>2 (2-5)</t>
  </si>
  <si>
    <t>9 (4-20)</t>
  </si>
  <si>
    <t>9 (4-26)</t>
  </si>
  <si>
    <t>6 (3-13)</t>
  </si>
  <si>
    <t>NVR angio cases 2020-2022</t>
  </si>
  <si>
    <t>NVR angio cases 2022</t>
  </si>
  <si>
    <t>Median (IQR) length of stay (days) 2022 angio</t>
  </si>
  <si>
    <t>Readmission denominator angio 2022</t>
  </si>
  <si>
    <t>30-day readmission 2022 angio</t>
  </si>
  <si>
    <t>Elective angios 2022</t>
  </si>
  <si>
    <t>Day Cases 2022</t>
  </si>
  <si>
    <t>10</t>
  </si>
  <si>
    <t>18</t>
  </si>
  <si>
    <t>4 (3 - 6)</t>
  </si>
  <si>
    <t>7 (4 - 10)</t>
  </si>
  <si>
    <t>7 (3 - 13)</t>
  </si>
  <si>
    <t>3 (1 - 8)</t>
  </si>
  <si>
    <t>5 (3 - 8)</t>
  </si>
  <si>
    <t>10 (6 - 16)</t>
  </si>
  <si>
    <t>6 (4 - 9)</t>
  </si>
  <si>
    <t>1 (0 - 6)</t>
  </si>
  <si>
    <t>4 (1 - 8)</t>
  </si>
  <si>
    <t>5 (2 - 8)</t>
  </si>
  <si>
    <t>8 (5 - 12)</t>
  </si>
  <si>
    <t>6 (3 - 10)</t>
  </si>
  <si>
    <t>5 (4 - 10)</t>
  </si>
  <si>
    <t>6 (3 - 15)</t>
  </si>
  <si>
    <t>8 (4 - 15)</t>
  </si>
  <si>
    <t>7 (3 - 11)</t>
  </si>
  <si>
    <t>10 (6 - 15)</t>
  </si>
  <si>
    <t>4 (1 - 9)</t>
  </si>
  <si>
    <t>5 (3 - 12)</t>
  </si>
  <si>
    <t>5 (2 - 7)</t>
  </si>
  <si>
    <t>6 (3 - 11)</t>
  </si>
  <si>
    <t>18 (12 - 21)</t>
  </si>
  <si>
    <t>3 (0 - 7)</t>
  </si>
  <si>
    <t>2 (0 - 6)</t>
  </si>
  <si>
    <t>7 (3 - 10)</t>
  </si>
  <si>
    <t>9 (1 - 13)</t>
  </si>
  <si>
    <t>9 (6 - 14)</t>
  </si>
  <si>
    <t>6 (4 - 10)</t>
  </si>
  <si>
    <t>8 (4 - 14)</t>
  </si>
  <si>
    <t>7 (6 - 19)</t>
  </si>
  <si>
    <t>3 (2 - 7)</t>
  </si>
  <si>
    <t>CLTI cases 2022</t>
  </si>
  <si>
    <t>CLTI waiting Time (IQR) (days) 2022</t>
  </si>
  <si>
    <t>Treated within 5 days 2022</t>
  </si>
  <si>
    <t>Open 2022</t>
  </si>
  <si>
    <t>Hybrid 2022</t>
  </si>
  <si>
    <t>Endovascular 2022</t>
  </si>
  <si>
    <t>Total 2022</t>
  </si>
  <si>
    <t>0 (0 - 1)</t>
  </si>
  <si>
    <t>1 (0 - 14)</t>
  </si>
  <si>
    <t>13 (1 - 35)</t>
  </si>
  <si>
    <t>0 (0 - 4)</t>
  </si>
  <si>
    <t>0 (0 - 12)</t>
  </si>
  <si>
    <t>0 (0 - 0)</t>
  </si>
  <si>
    <t>10 (7 - 20)</t>
  </si>
  <si>
    <t>0 (0 - 3)</t>
  </si>
  <si>
    <t>9 (2 - 17)</t>
  </si>
  <si>
    <t>3 (0 - 15)</t>
  </si>
  <si>
    <t>0 (0 - 8)</t>
  </si>
  <si>
    <t>2 (1 - 29)</t>
  </si>
  <si>
    <t>0 (0 - 7)</t>
  </si>
  <si>
    <t>1 (1 - 7)</t>
  </si>
  <si>
    <t>2 (0 - 10)</t>
  </si>
  <si>
    <t>3 (0 - 10)</t>
  </si>
  <si>
    <t>7 (2 - 20)</t>
  </si>
  <si>
    <t>1 (0 - 9)</t>
  </si>
  <si>
    <t>1 (0 - 8)</t>
  </si>
  <si>
    <t>1 (0 - 12)</t>
  </si>
  <si>
    <t>2 (0 - 8)</t>
  </si>
  <si>
    <t>2 (0 - 9)</t>
  </si>
  <si>
    <t>3 (0 - 21)</t>
  </si>
  <si>
    <t>2 (0 - 11)</t>
  </si>
  <si>
    <t>1 (0 - 3)</t>
  </si>
  <si>
    <t>1 (0 - 1)</t>
  </si>
  <si>
    <t>0 (0 - 11)</t>
  </si>
  <si>
    <t>3 (1 - 17)</t>
  </si>
  <si>
    <t>0 (0 - 2)</t>
  </si>
  <si>
    <t>1 (0 - 7)</t>
  </si>
  <si>
    <t>1 (0 - 59)</t>
  </si>
  <si>
    <t>1 (0 - 5)</t>
  </si>
  <si>
    <t>0 (0 - 14)</t>
  </si>
  <si>
    <t>2 (1 - 11)</t>
  </si>
  <si>
    <t>9 (1 - 22)</t>
  </si>
  <si>
    <t>1 (0 - 18)</t>
  </si>
  <si>
    <t>4 (0 - 15)</t>
  </si>
  <si>
    <t>11 (6 - 23)</t>
  </si>
  <si>
    <t>9 (0 - 19)</t>
  </si>
  <si>
    <t>8 (2 - 17)</t>
  </si>
  <si>
    <t>3 (0 - 16)</t>
  </si>
  <si>
    <t>2 (0 - 4)</t>
  </si>
  <si>
    <t>10 (5 - 21)</t>
  </si>
  <si>
    <t>2023 NVR NHS Organisational Data Viewer</t>
  </si>
  <si>
    <t xml:space="preserve">This spreadsheet includes the national and organisational level results for emergency (non-elective) and elective procedures for the following patient groups:
1. patients with peripheral arterial disease (PAD) who undergo either (a) lower limb angioplasty/stent, (b) lower limb bypass surgery, or (c) lower limb amputation
2. patients who have a repair procedure for abdominal aortic aneurysm (AAA)
3. patients who undergo carotid endarterectomy.
</t>
  </si>
  <si>
    <t>USER GUIDE</t>
  </si>
  <si>
    <t>These cells give an instruction of what the cell on the right is to be used for</t>
  </si>
  <si>
    <t xml:space="preserve">These cells contain dropdown menus where the user can select NHS Trust or Performance Indicator of interest </t>
  </si>
  <si>
    <t>Note</t>
  </si>
  <si>
    <t>The purpose of the National Vascular Registry (NVR) is to measure the quality and outcomes of care for adult patients who undergo major vascular procedures in NHS hospitals, and to support vascular services to improve the quality of care for these patients.</t>
  </si>
  <si>
    <t>This is version 2 of the data viewer, which was updated on 01/12/2023. 
Version 2 contains a correction to the CEA funnel plot, and in particular the volumes used for the x axis in the plot.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</si>
</sst>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2" x14ac:knownFonts="1">
    <font>
      <sz val="11"/>
      <color theme="1"/>
      <name val="Calibri"/>
      <family val="2"/>
    </font>
    <font>
      <b/>
      <sz val="11"/>
      <color theme="1"/>
      <name val="Calibri"/>
      <family val="2"/>
    </font>
    <font>
      <b/>
      <sz val="11"/>
      <color rgb="FF000000"/>
      <name val="Calibri"/>
      <family val="2"/>
    </font>
    <font>
      <sz val="11"/>
      <color theme="1"/>
      <name val="Calibri"/>
      <family val="2"/>
    </font>
    <font>
      <sz val="11"/>
      <name val="Calibri"/>
      <family val="2"/>
      <scheme val="minor"/>
    </font>
    <font>
      <b/>
      <sz val="12"/>
      <color theme="1"/>
      <name val="Calibri"/>
      <family val="2"/>
      <scheme val="minor"/>
    </font>
    <font>
      <b/>
      <sz val="12"/>
      <color theme="1"/>
      <name val="Calibri"/>
      <family val="2"/>
    </font>
    <font>
      <b/>
      <sz val="11"/>
      <name val="Calibri"/>
      <family val="2"/>
      <scheme val="minor"/>
    </font>
    <font>
      <b/>
      <sz val="11"/>
      <name val="Calibri"/>
      <family val="2"/>
    </font>
    <font>
      <sz val="11"/>
      <name val="Calibri"/>
      <family val="2"/>
    </font>
    <font>
      <sz val="10"/>
      <name val="Arial"/>
      <family val="2"/>
    </font>
    <font>
      <sz val="11"/>
      <color rgb="FF0070C0"/>
      <name val="Calibri"/>
      <family val="2"/>
    </font>
    <font>
      <sz val="11"/>
      <color rgb="FFFF0000"/>
      <name val="Calibri"/>
      <family val="2"/>
    </font>
    <font>
      <b/>
      <sz val="11"/>
      <color rgb="FF000000"/>
      <name val="Calibri"/>
      <family val="2"/>
      <scheme val="minor"/>
    </font>
    <font>
      <b/>
      <sz val="11"/>
      <color theme="1"/>
      <name val="Calibri"/>
      <family val="2"/>
      <scheme val="minor"/>
    </font>
    <font>
      <sz val="11"/>
      <color theme="1"/>
      <name val="Calibri"/>
      <family val="2"/>
      <scheme val="minor"/>
    </font>
    <font>
      <sz val="11"/>
      <color theme="0"/>
      <name val="Calibri"/>
      <family val="2"/>
    </font>
    <font>
      <b/>
      <sz val="11"/>
      <color theme="0"/>
      <name val="Calibri"/>
      <family val="2"/>
      <scheme val="minor"/>
    </font>
    <font>
      <sz val="11"/>
      <color theme="0"/>
      <name val="Calibri"/>
      <family val="2"/>
      <scheme val="minor"/>
    </font>
    <font>
      <b/>
      <sz val="11"/>
      <color theme="0"/>
      <name val="Calibri"/>
      <family val="2"/>
    </font>
    <font>
      <b/>
      <sz val="14"/>
      <color theme="1"/>
      <name val="Calibri"/>
      <family val="2"/>
    </font>
    <font>
      <b/>
      <sz val="14"/>
      <color theme="1"/>
      <name val="Calibri"/>
      <family val="2"/>
      <scheme val="minor"/>
    </font>
  </fonts>
  <fills count="7">
    <fill>
      <patternFill patternType="none"/>
    </fill>
    <fill>
      <patternFill patternType="gray125"/>
    </fill>
    <fill>
      <patternFill patternType="solid">
        <fgColor theme="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10">
    <border>
      <left/>
      <right/>
      <top/>
      <bottom/>
      <diagonal/>
    </border>
    <border>
      <left/>
      <right/>
      <top style="medium">
        <color indexed="64"/>
      </top>
      <bottom/>
      <diagonal/>
    </border>
    <border>
      <left style="medium">
        <color theme="4" tint="0.59996337778862885"/>
      </left>
      <right style="medium">
        <color theme="4" tint="0.59996337778862885"/>
      </right>
      <top style="medium">
        <color theme="4" tint="0.59996337778862885"/>
      </top>
      <bottom style="medium">
        <color theme="4" tint="0.59996337778862885"/>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9" fontId="3" fillId="0" borderId="0" applyFont="0" applyFill="0" applyBorder="0" applyAlignment="0" applyProtection="0"/>
    <xf numFmtId="0" fontId="10" fillId="0" borderId="0"/>
    <xf numFmtId="0" fontId="10" fillId="0" borderId="0"/>
  </cellStyleXfs>
  <cellXfs count="245">
    <xf numFmtId="0" fontId="0" fillId="0" borderId="0" xfId="0"/>
    <xf numFmtId="0" fontId="0" fillId="0" borderId="0" xfId="0" applyAlignment="1"/>
    <xf numFmtId="0" fontId="2" fillId="0" borderId="1" xfId="0" applyFont="1" applyBorder="1" applyAlignment="1">
      <alignment horizontal="center" vertical="center" wrapText="1"/>
    </xf>
    <xf numFmtId="0" fontId="2" fillId="0" borderId="1" xfId="0" applyFont="1" applyBorder="1" applyAlignment="1">
      <alignment horizontal="right" vertical="center" wrapText="1"/>
    </xf>
    <xf numFmtId="0" fontId="2" fillId="0" borderId="0" xfId="0" applyFont="1" applyBorder="1" applyAlignment="1">
      <alignment horizontal="center" vertical="center" wrapText="1"/>
    </xf>
    <xf numFmtId="0" fontId="0" fillId="0" borderId="0" xfId="0" applyAlignment="1">
      <alignment horizontal="center"/>
    </xf>
    <xf numFmtId="164" fontId="0" fillId="0" borderId="0" xfId="0" applyNumberFormat="1"/>
    <xf numFmtId="0" fontId="1" fillId="0" borderId="0" xfId="0" applyFont="1" applyFill="1" applyBorder="1" applyAlignment="1">
      <alignment horizontal="center" vertical="center" wrapText="1"/>
    </xf>
    <xf numFmtId="0" fontId="0" fillId="0" borderId="0" xfId="0" applyFill="1"/>
    <xf numFmtId="0" fontId="0" fillId="0" borderId="0" xfId="0" applyNumberFormat="1"/>
    <xf numFmtId="0" fontId="2" fillId="0" borderId="0" xfId="0" applyFont="1" applyFill="1" applyBorder="1" applyAlignment="1">
      <alignment horizontal="right" vertical="center" wrapText="1"/>
    </xf>
    <xf numFmtId="0" fontId="2" fillId="0" borderId="0" xfId="0" applyFont="1" applyFill="1" applyBorder="1" applyAlignment="1">
      <alignment horizontal="center" vertical="center" wrapText="1"/>
    </xf>
    <xf numFmtId="0" fontId="5" fillId="2" borderId="0" xfId="0" applyFont="1" applyFill="1"/>
    <xf numFmtId="0" fontId="6" fillId="3" borderId="0" xfId="0" applyFont="1" applyFill="1"/>
    <xf numFmtId="0" fontId="2" fillId="0" borderId="2" xfId="0" applyFont="1" applyBorder="1" applyAlignment="1">
      <alignment horizontal="center" vertical="center" wrapText="1"/>
    </xf>
    <xf numFmtId="0" fontId="2" fillId="0" borderId="2" xfId="0" applyFont="1" applyBorder="1" applyAlignment="1">
      <alignment horizontal="right" vertical="center" wrapText="1"/>
    </xf>
    <xf numFmtId="0" fontId="1" fillId="0" borderId="2" xfId="0" applyFont="1" applyBorder="1"/>
    <xf numFmtId="0" fontId="0" fillId="0" borderId="2" xfId="0" applyBorder="1" applyAlignment="1">
      <alignment horizontal="center"/>
    </xf>
    <xf numFmtId="0" fontId="0" fillId="0" borderId="2" xfId="0" applyBorder="1"/>
    <xf numFmtId="9" fontId="0" fillId="0" borderId="2" xfId="0" applyNumberFormat="1" applyBorder="1"/>
    <xf numFmtId="164" fontId="0" fillId="0" borderId="2" xfId="0" applyNumberFormat="1" applyBorder="1"/>
    <xf numFmtId="0" fontId="8" fillId="0" borderId="0" xfId="0" applyFont="1" applyFill="1" applyBorder="1" applyAlignment="1">
      <alignment horizontal="center" vertical="center" wrapText="1"/>
    </xf>
    <xf numFmtId="0" fontId="9" fillId="0" borderId="0" xfId="0" applyFont="1"/>
    <xf numFmtId="0" fontId="6" fillId="2" borderId="0" xfId="0" applyFont="1" applyFill="1"/>
    <xf numFmtId="165" fontId="0" fillId="0" borderId="0" xfId="0" applyNumberFormat="1"/>
    <xf numFmtId="0" fontId="8" fillId="0" borderId="0" xfId="0" applyFont="1" applyBorder="1" applyAlignment="1">
      <alignment horizontal="center" vertical="center" wrapText="1"/>
    </xf>
    <xf numFmtId="10" fontId="0" fillId="0" borderId="0" xfId="0" applyNumberFormat="1"/>
    <xf numFmtId="0" fontId="1" fillId="0" borderId="0" xfId="0" applyFont="1" applyAlignment="1">
      <alignment wrapText="1"/>
    </xf>
    <xf numFmtId="9" fontId="9" fillId="0" borderId="0" xfId="0" applyNumberFormat="1" applyFont="1"/>
    <xf numFmtId="0" fontId="2"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0" fillId="0" borderId="2" xfId="0" applyBorder="1" applyAlignment="1">
      <alignment horizontal="right"/>
    </xf>
    <xf numFmtId="164" fontId="0" fillId="0" borderId="2" xfId="0" applyNumberFormat="1" applyBorder="1" applyAlignment="1">
      <alignment horizontal="right"/>
    </xf>
    <xf numFmtId="3" fontId="0" fillId="0" borderId="2" xfId="0" applyNumberFormat="1" applyBorder="1"/>
    <xf numFmtId="9" fontId="0" fillId="0" borderId="2" xfId="0" applyNumberFormat="1" applyBorder="1" applyAlignment="1">
      <alignment horizontal="right"/>
    </xf>
    <xf numFmtId="0" fontId="2" fillId="0" borderId="2" xfId="0" applyFont="1" applyFill="1" applyBorder="1" applyAlignment="1">
      <alignment horizontal="center" vertical="center" wrapText="1"/>
    </xf>
    <xf numFmtId="0" fontId="1" fillId="0" borderId="2" xfId="0" applyFont="1" applyBorder="1" applyAlignment="1">
      <alignment horizontal="right" vertical="center" wrapText="1"/>
    </xf>
    <xf numFmtId="0" fontId="1" fillId="0" borderId="0" xfId="0" applyFont="1" applyFill="1" applyAlignment="1">
      <alignment wrapText="1"/>
    </xf>
    <xf numFmtId="9" fontId="9" fillId="0" borderId="0" xfId="0" applyNumberFormat="1" applyFont="1" applyFill="1"/>
    <xf numFmtId="0" fontId="9" fillId="0" borderId="0" xfId="0" applyNumberFormat="1" applyFont="1"/>
    <xf numFmtId="0" fontId="11" fillId="0" borderId="0" xfId="0" applyFont="1"/>
    <xf numFmtId="0" fontId="12" fillId="0" borderId="0" xfId="0" applyFont="1"/>
    <xf numFmtId="3" fontId="9" fillId="0" borderId="2" xfId="0" applyNumberFormat="1" applyFont="1" applyBorder="1"/>
    <xf numFmtId="0" fontId="9" fillId="0" borderId="2" xfId="0" applyFont="1" applyBorder="1" applyAlignment="1">
      <alignment horizontal="center"/>
    </xf>
    <xf numFmtId="164" fontId="9" fillId="0" borderId="2" xfId="0" applyNumberFormat="1" applyFont="1" applyBorder="1"/>
    <xf numFmtId="9" fontId="9" fillId="0" borderId="2" xfId="0" applyNumberFormat="1" applyFont="1" applyBorder="1"/>
    <xf numFmtId="0" fontId="5" fillId="2" borderId="0" xfId="0" applyFont="1" applyFill="1" applyAlignment="1">
      <alignment wrapText="1"/>
    </xf>
    <xf numFmtId="9" fontId="0" fillId="0" borderId="0" xfId="0" applyNumberFormat="1"/>
    <xf numFmtId="9" fontId="0" fillId="0" borderId="0" xfId="1" applyNumberFormat="1" applyFont="1" applyAlignment="1">
      <alignment horizontal="center"/>
    </xf>
    <xf numFmtId="166" fontId="0" fillId="0" borderId="0" xfId="0" applyNumberFormat="1" applyAlignment="1">
      <alignment horizontal="center"/>
    </xf>
    <xf numFmtId="0" fontId="0" fillId="0" borderId="0" xfId="1" applyNumberFormat="1" applyFont="1" applyAlignment="1">
      <alignment horizontal="center"/>
    </xf>
    <xf numFmtId="0" fontId="0" fillId="0" borderId="2" xfId="0" applyFont="1" applyBorder="1"/>
    <xf numFmtId="0" fontId="0" fillId="0" borderId="2" xfId="0" applyFont="1" applyBorder="1" applyAlignment="1">
      <alignment horizontal="center"/>
    </xf>
    <xf numFmtId="164" fontId="0" fillId="0" borderId="2" xfId="0" applyNumberFormat="1" applyFont="1" applyBorder="1"/>
    <xf numFmtId="0" fontId="13" fillId="0" borderId="0" xfId="0" applyFont="1" applyBorder="1" applyAlignment="1">
      <alignment horizontal="left" vertical="center" wrapText="1"/>
    </xf>
    <xf numFmtId="0" fontId="13" fillId="0" borderId="0" xfId="0" applyFont="1" applyBorder="1" applyAlignment="1">
      <alignment vertical="center" wrapText="1"/>
    </xf>
    <xf numFmtId="0" fontId="13"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0" borderId="0" xfId="2" applyFont="1" applyBorder="1" applyAlignment="1">
      <alignment horizontal="center" vertical="center" wrapText="1"/>
    </xf>
    <xf numFmtId="0" fontId="0" fillId="0" borderId="0" xfId="0" applyFont="1"/>
    <xf numFmtId="3" fontId="0" fillId="0" borderId="2" xfId="0" applyNumberFormat="1" applyFont="1" applyBorder="1"/>
    <xf numFmtId="0" fontId="7" fillId="0" borderId="0" xfId="3" applyFont="1" applyAlignment="1">
      <alignment horizontal="center" vertical="center"/>
    </xf>
    <xf numFmtId="0" fontId="7" fillId="0" borderId="0" xfId="3" applyFont="1" applyAlignment="1">
      <alignment horizontal="center" vertical="center" wrapText="1"/>
    </xf>
    <xf numFmtId="164" fontId="7" fillId="0" borderId="0" xfId="3" applyNumberFormat="1" applyFont="1" applyAlignment="1">
      <alignment horizontal="center" vertical="center" wrapText="1"/>
    </xf>
    <xf numFmtId="0" fontId="0" fillId="0" borderId="0" xfId="0" applyAlignment="1">
      <alignment horizontal="center" vertical="center"/>
    </xf>
    <xf numFmtId="9" fontId="0" fillId="0" borderId="0" xfId="1" applyFont="1" applyAlignment="1">
      <alignment horizontal="center" vertical="center"/>
    </xf>
    <xf numFmtId="164" fontId="4" fillId="0" borderId="0" xfId="0" applyNumberFormat="1" applyFont="1" applyAlignment="1">
      <alignment horizontal="center" vertical="center"/>
    </xf>
    <xf numFmtId="9" fontId="0" fillId="0" borderId="2" xfId="0" applyNumberFormat="1" applyFont="1" applyBorder="1" applyAlignment="1">
      <alignment horizontal="right"/>
    </xf>
    <xf numFmtId="0" fontId="9" fillId="0" borderId="0" xfId="0" applyNumberFormat="1" applyFont="1" applyFill="1"/>
    <xf numFmtId="0" fontId="7" fillId="0" borderId="0" xfId="3" applyFont="1" applyFill="1" applyAlignment="1">
      <alignment horizontal="center" vertical="center" wrapText="1"/>
    </xf>
    <xf numFmtId="164" fontId="4" fillId="0" borderId="0" xfId="0" applyNumberFormat="1" applyFont="1" applyFill="1" applyAlignment="1">
      <alignment horizontal="center" vertical="center"/>
    </xf>
    <xf numFmtId="9" fontId="0" fillId="0" borderId="0" xfId="1" applyFont="1" applyFill="1" applyAlignment="1">
      <alignment horizontal="center" vertical="center"/>
    </xf>
    <xf numFmtId="9" fontId="1" fillId="0" borderId="0" xfId="0" applyNumberFormat="1" applyFont="1" applyAlignment="1">
      <alignment wrapText="1"/>
    </xf>
    <xf numFmtId="0" fontId="0" fillId="0" borderId="0" xfId="0" applyAlignment="1">
      <alignment horizontal="left"/>
    </xf>
    <xf numFmtId="3" fontId="0" fillId="0" borderId="2" xfId="0" applyNumberFormat="1" applyFont="1" applyFill="1" applyBorder="1"/>
    <xf numFmtId="3" fontId="0" fillId="0" borderId="2" xfId="0" applyNumberFormat="1" applyFont="1" applyFill="1" applyBorder="1" applyAlignment="1">
      <alignment horizontal="right"/>
    </xf>
    <xf numFmtId="164" fontId="0" fillId="0" borderId="2" xfId="0" applyNumberFormat="1" applyFont="1" applyFill="1" applyBorder="1" applyAlignment="1">
      <alignment horizontal="right"/>
    </xf>
    <xf numFmtId="9" fontId="0" fillId="0" borderId="2" xfId="0" applyNumberFormat="1" applyFont="1" applyFill="1" applyBorder="1" applyAlignment="1">
      <alignment horizontal="right"/>
    </xf>
    <xf numFmtId="9" fontId="0" fillId="0" borderId="2" xfId="0" applyNumberFormat="1" applyFont="1" applyFill="1" applyBorder="1"/>
    <xf numFmtId="0" fontId="6" fillId="2" borderId="0" xfId="0" applyFont="1" applyFill="1" applyAlignment="1">
      <alignment horizontal="right"/>
    </xf>
    <xf numFmtId="0" fontId="1" fillId="0" borderId="2" xfId="0" applyFont="1" applyBorder="1" applyAlignment="1">
      <alignment horizontal="right"/>
    </xf>
    <xf numFmtId="9" fontId="0" fillId="0" borderId="2" xfId="0" applyNumberFormat="1" applyFill="1" applyBorder="1"/>
    <xf numFmtId="0" fontId="0" fillId="0" borderId="2" xfId="0" applyNumberFormat="1" applyFont="1" applyFill="1" applyBorder="1" applyAlignment="1">
      <alignment horizontal="center"/>
    </xf>
    <xf numFmtId="0" fontId="0" fillId="0" borderId="0" xfId="0" applyFill="1" applyAlignment="1">
      <alignment horizontal="center"/>
    </xf>
    <xf numFmtId="0" fontId="1" fillId="0" borderId="2" xfId="0" applyFont="1" applyFill="1" applyBorder="1" applyAlignment="1">
      <alignment horizontal="center"/>
    </xf>
    <xf numFmtId="164" fontId="0" fillId="0" borderId="0" xfId="1" applyNumberFormat="1" applyFont="1" applyAlignment="1">
      <alignment horizontal="center"/>
    </xf>
    <xf numFmtId="2" fontId="0" fillId="0" borderId="2" xfId="0" applyNumberFormat="1" applyFont="1" applyBorder="1" applyAlignment="1">
      <alignment horizontal="right"/>
    </xf>
    <xf numFmtId="0" fontId="7" fillId="4" borderId="3" xfId="3" applyFont="1" applyFill="1" applyBorder="1" applyAlignment="1">
      <alignment horizontal="center" vertical="center"/>
    </xf>
    <xf numFmtId="0" fontId="7" fillId="4" borderId="4" xfId="3" applyFont="1" applyFill="1" applyBorder="1" applyAlignment="1">
      <alignment horizontal="center" vertical="center"/>
    </xf>
    <xf numFmtId="0" fontId="7" fillId="4" borderId="5" xfId="3" applyFont="1" applyFill="1" applyBorder="1" applyAlignment="1">
      <alignment horizontal="center" vertical="center"/>
    </xf>
    <xf numFmtId="0" fontId="7" fillId="4" borderId="0" xfId="3" applyFont="1" applyFill="1" applyBorder="1" applyAlignment="1">
      <alignment horizontal="center" vertical="center"/>
    </xf>
    <xf numFmtId="1" fontId="0" fillId="0" borderId="4" xfId="0" applyNumberFormat="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1" fontId="0" fillId="0" borderId="0" xfId="0" applyNumberFormat="1" applyBorder="1" applyAlignment="1">
      <alignment horizontal="center"/>
    </xf>
    <xf numFmtId="0" fontId="0" fillId="0" borderId="6" xfId="0" applyBorder="1" applyAlignment="1">
      <alignment horizontal="center"/>
    </xf>
    <xf numFmtId="0" fontId="0" fillId="0" borderId="0" xfId="0" applyBorder="1" applyAlignment="1">
      <alignment horizontal="center"/>
    </xf>
    <xf numFmtId="1" fontId="0" fillId="0" borderId="0" xfId="0" applyNumberFormat="1" applyFill="1" applyBorder="1" applyAlignment="1">
      <alignment horizontal="center" vertical="center"/>
    </xf>
    <xf numFmtId="1" fontId="0" fillId="0" borderId="8" xfId="0" applyNumberForma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2" xfId="0" applyFill="1" applyBorder="1" applyAlignment="1">
      <alignment horizontal="right"/>
    </xf>
    <xf numFmtId="0" fontId="0" fillId="0" borderId="2" xfId="0" applyFill="1" applyBorder="1" applyAlignment="1">
      <alignment horizontal="center"/>
    </xf>
    <xf numFmtId="2" fontId="0" fillId="0" borderId="2" xfId="0" applyNumberFormat="1" applyFill="1" applyBorder="1" applyAlignment="1">
      <alignment horizontal="right"/>
    </xf>
    <xf numFmtId="9" fontId="0" fillId="0" borderId="2" xfId="0" applyNumberFormat="1" applyFill="1" applyBorder="1" applyAlignment="1">
      <alignment horizontal="right"/>
    </xf>
    <xf numFmtId="164" fontId="0" fillId="0" borderId="2" xfId="0" applyNumberFormat="1" applyFill="1" applyBorder="1" applyAlignment="1">
      <alignment horizontal="right"/>
    </xf>
    <xf numFmtId="2" fontId="0" fillId="0" borderId="0" xfId="0" applyNumberFormat="1"/>
    <xf numFmtId="0" fontId="7" fillId="5" borderId="4" xfId="3" applyFont="1" applyFill="1" applyBorder="1" applyAlignment="1">
      <alignment horizontal="center" vertical="center" wrapText="1"/>
    </xf>
    <xf numFmtId="164" fontId="7" fillId="5" borderId="4" xfId="3" applyNumberFormat="1" applyFont="1" applyFill="1" applyBorder="1" applyAlignment="1">
      <alignment horizontal="center" vertical="center" wrapText="1"/>
    </xf>
    <xf numFmtId="9" fontId="7" fillId="5" borderId="4" xfId="3" applyNumberFormat="1" applyFont="1" applyFill="1" applyBorder="1" applyAlignment="1">
      <alignment horizontal="center" vertical="center" wrapText="1"/>
    </xf>
    <xf numFmtId="9" fontId="0" fillId="0" borderId="4" xfId="0" applyNumberFormat="1" applyBorder="1" applyAlignment="1">
      <alignment horizontal="center"/>
    </xf>
    <xf numFmtId="9" fontId="0" fillId="0" borderId="0" xfId="0" applyNumberFormat="1" applyBorder="1" applyAlignment="1">
      <alignment horizontal="center"/>
    </xf>
    <xf numFmtId="9" fontId="0" fillId="0" borderId="8" xfId="0" applyNumberFormat="1" applyBorder="1" applyAlignment="1">
      <alignment horizontal="center"/>
    </xf>
    <xf numFmtId="0" fontId="7" fillId="6" borderId="3" xfId="3" applyFont="1" applyFill="1" applyBorder="1" applyAlignment="1">
      <alignment horizontal="center" vertical="center" wrapText="1"/>
    </xf>
    <xf numFmtId="0" fontId="7" fillId="6" borderId="4" xfId="3" applyFont="1" applyFill="1" applyBorder="1" applyAlignment="1">
      <alignment horizontal="center" vertical="center" wrapText="1"/>
    </xf>
    <xf numFmtId="164" fontId="7" fillId="6" borderId="4" xfId="3" applyNumberFormat="1" applyFont="1" applyFill="1" applyBorder="1" applyAlignment="1">
      <alignment horizontal="center" vertical="center" wrapText="1"/>
    </xf>
    <xf numFmtId="10" fontId="7" fillId="6" borderId="5" xfId="3" applyNumberFormat="1" applyFont="1" applyFill="1" applyBorder="1" applyAlignment="1">
      <alignment horizontal="center" vertical="center" wrapText="1"/>
    </xf>
    <xf numFmtId="1" fontId="0" fillId="0" borderId="4" xfId="0" applyNumberFormat="1" applyBorder="1" applyAlignment="1">
      <alignment horizontal="center" vertical="center"/>
    </xf>
    <xf numFmtId="1" fontId="0" fillId="0" borderId="0" xfId="0" applyNumberFormat="1" applyBorder="1" applyAlignment="1">
      <alignment horizontal="center" vertical="center"/>
    </xf>
    <xf numFmtId="1" fontId="0" fillId="0" borderId="8" xfId="0" applyNumberFormat="1" applyBorder="1" applyAlignment="1">
      <alignment horizontal="center" vertical="center"/>
    </xf>
    <xf numFmtId="0" fontId="0" fillId="0" borderId="2" xfId="0" applyFont="1" applyFill="1" applyBorder="1" applyAlignment="1">
      <alignment horizontal="center"/>
    </xf>
    <xf numFmtId="9" fontId="9" fillId="0" borderId="2" xfId="0" applyNumberFormat="1" applyFont="1" applyFill="1" applyBorder="1"/>
    <xf numFmtId="1" fontId="15" fillId="0" borderId="0" xfId="0" applyNumberFormat="1" applyFont="1" applyAlignment="1"/>
    <xf numFmtId="164" fontId="15" fillId="0" borderId="0" xfId="0" applyNumberFormat="1" applyFont="1" applyAlignment="1"/>
    <xf numFmtId="164" fontId="0" fillId="0" borderId="0" xfId="0" applyNumberFormat="1" applyFont="1"/>
    <xf numFmtId="0" fontId="15" fillId="0" borderId="0" xfId="0" applyNumberFormat="1" applyFont="1" applyAlignment="1">
      <alignment horizontal="center"/>
    </xf>
    <xf numFmtId="0" fontId="16" fillId="0" borderId="0" xfId="0" applyFont="1"/>
    <xf numFmtId="0" fontId="2" fillId="0" borderId="0" xfId="2" applyFont="1" applyBorder="1" applyAlignment="1">
      <alignment horizontal="center" vertical="center" wrapText="1"/>
    </xf>
    <xf numFmtId="9" fontId="0" fillId="0" borderId="0" xfId="1" applyNumberFormat="1" applyFont="1" applyFill="1" applyAlignment="1">
      <alignment horizontal="center"/>
    </xf>
    <xf numFmtId="9" fontId="0" fillId="0" borderId="0" xfId="0" applyNumberFormat="1" applyAlignment="1">
      <alignment horizontal="center"/>
    </xf>
    <xf numFmtId="0" fontId="9" fillId="0" borderId="0" xfId="0" applyFont="1" applyFill="1"/>
    <xf numFmtId="0" fontId="2" fillId="0" borderId="1" xfId="2" applyFont="1" applyBorder="1" applyAlignment="1">
      <alignment horizontal="center" vertical="center" wrapText="1"/>
    </xf>
    <xf numFmtId="3" fontId="9" fillId="0" borderId="2" xfId="0" applyNumberFormat="1" applyFont="1" applyFill="1" applyBorder="1"/>
    <xf numFmtId="1" fontId="0" fillId="0" borderId="0" xfId="1" applyNumberFormat="1" applyFont="1" applyAlignment="1">
      <alignment horizontal="center"/>
    </xf>
    <xf numFmtId="9" fontId="0" fillId="0" borderId="0" xfId="1" applyFont="1"/>
    <xf numFmtId="11" fontId="0" fillId="0" borderId="0" xfId="0" applyNumberFormat="1"/>
    <xf numFmtId="0" fontId="0" fillId="0" borderId="0" xfId="0" applyFont="1" applyFill="1"/>
    <xf numFmtId="0" fontId="9" fillId="0" borderId="0" xfId="0" applyFont="1" applyFill="1" applyBorder="1"/>
    <xf numFmtId="0" fontId="1" fillId="0" borderId="2" xfId="0" applyFont="1" applyBorder="1" applyAlignment="1">
      <alignment horizontal="center"/>
    </xf>
    <xf numFmtId="0" fontId="6" fillId="3" borderId="0" xfId="0" applyFont="1" applyFill="1" applyAlignment="1">
      <alignment wrapText="1"/>
    </xf>
    <xf numFmtId="9" fontId="0" fillId="0" borderId="2" xfId="0" applyNumberFormat="1" applyFont="1" applyBorder="1" applyAlignment="1">
      <alignment horizontal="center"/>
    </xf>
    <xf numFmtId="9" fontId="9" fillId="0" borderId="2" xfId="0" applyNumberFormat="1" applyFont="1" applyBorder="1" applyAlignment="1">
      <alignment horizontal="center"/>
    </xf>
    <xf numFmtId="1" fontId="0" fillId="0" borderId="0" xfId="0" applyNumberFormat="1" applyAlignment="1">
      <alignment horizontal="center" vertical="center"/>
    </xf>
    <xf numFmtId="9" fontId="0" fillId="0" borderId="0" xfId="0" applyNumberFormat="1" applyAlignment="1">
      <alignment horizontal="center" vertical="center"/>
    </xf>
    <xf numFmtId="164" fontId="0" fillId="0" borderId="0" xfId="0" applyNumberFormat="1" applyAlignment="1">
      <alignment horizontal="center" vertical="center"/>
    </xf>
    <xf numFmtId="2" fontId="0" fillId="0" borderId="0" xfId="0" applyNumberFormat="1" applyAlignment="1">
      <alignment horizontal="center" vertical="center"/>
    </xf>
    <xf numFmtId="165" fontId="0" fillId="0" borderId="0" xfId="0" applyNumberFormat="1" applyAlignment="1">
      <alignment horizontal="center" vertical="center"/>
    </xf>
    <xf numFmtId="0" fontId="0" fillId="0" borderId="0" xfId="0" applyAlignment="1">
      <alignment horizontal="right" vertical="center"/>
    </xf>
    <xf numFmtId="9" fontId="13" fillId="0" borderId="0"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1" fillId="0" borderId="0" xfId="0" applyNumberFormat="1" applyFont="1" applyFill="1" applyAlignment="1">
      <alignment wrapText="1"/>
    </xf>
    <xf numFmtId="164" fontId="0" fillId="0" borderId="0" xfId="1" applyNumberFormat="1" applyFont="1"/>
    <xf numFmtId="165" fontId="0" fillId="0" borderId="0" xfId="0" applyNumberFormat="1" applyFill="1"/>
    <xf numFmtId="164" fontId="0" fillId="0" borderId="0" xfId="1" applyNumberFormat="1" applyFont="1" applyFill="1"/>
    <xf numFmtId="3" fontId="0" fillId="0" borderId="2" xfId="0" applyNumberFormat="1" applyFont="1" applyFill="1" applyBorder="1" applyAlignment="1">
      <alignment horizontal="center"/>
    </xf>
    <xf numFmtId="164" fontId="0" fillId="0" borderId="2" xfId="0" applyNumberFormat="1" applyFont="1" applyFill="1" applyBorder="1"/>
    <xf numFmtId="9" fontId="0" fillId="0" borderId="5" xfId="1" applyNumberFormat="1" applyFont="1" applyBorder="1" applyAlignment="1">
      <alignment horizontal="center" vertical="center"/>
    </xf>
    <xf numFmtId="9" fontId="0" fillId="0" borderId="6" xfId="0" applyNumberFormat="1" applyBorder="1" applyAlignment="1">
      <alignment horizontal="center" vertical="center"/>
    </xf>
    <xf numFmtId="9" fontId="0" fillId="0" borderId="6" xfId="1" applyNumberFormat="1" applyFont="1" applyBorder="1" applyAlignment="1">
      <alignment horizontal="center" vertical="center"/>
    </xf>
    <xf numFmtId="9" fontId="0" fillId="0" borderId="0" xfId="1" applyNumberFormat="1" applyFont="1" applyBorder="1" applyAlignment="1">
      <alignment horizontal="center" vertical="center"/>
    </xf>
    <xf numFmtId="0" fontId="0" fillId="0" borderId="0" xfId="0" applyBorder="1"/>
    <xf numFmtId="9" fontId="0" fillId="0" borderId="6" xfId="0" applyNumberFormat="1" applyBorder="1" applyAlignment="1">
      <alignment horizontal="center"/>
    </xf>
    <xf numFmtId="1" fontId="0" fillId="0" borderId="0" xfId="0" applyNumberFormat="1" applyFill="1" applyBorder="1" applyAlignment="1">
      <alignment horizontal="center"/>
    </xf>
    <xf numFmtId="9" fontId="0" fillId="0" borderId="0" xfId="1" applyNumberFormat="1" applyFont="1" applyFill="1" applyBorder="1" applyAlignment="1">
      <alignment horizontal="center" vertical="center"/>
    </xf>
    <xf numFmtId="0" fontId="0" fillId="0" borderId="8" xfId="0" applyBorder="1"/>
    <xf numFmtId="9" fontId="0" fillId="0" borderId="9" xfId="1" applyNumberFormat="1" applyFont="1" applyBorder="1" applyAlignment="1">
      <alignment horizontal="center" vertical="center"/>
    </xf>
    <xf numFmtId="3" fontId="0" fillId="0" borderId="0" xfId="0" applyNumberFormat="1" applyAlignment="1">
      <alignment horizontal="center" vertical="center"/>
    </xf>
    <xf numFmtId="3" fontId="0" fillId="0" borderId="0" xfId="0" applyNumberFormat="1" applyBorder="1" applyAlignment="1">
      <alignment horizontal="center" vertical="center"/>
    </xf>
    <xf numFmtId="9" fontId="0" fillId="0" borderId="0" xfId="0" applyNumberFormat="1" applyBorder="1" applyAlignment="1">
      <alignment horizontal="center" vertical="center"/>
    </xf>
    <xf numFmtId="164" fontId="0" fillId="0" borderId="0" xfId="0" applyNumberFormat="1" applyBorder="1" applyAlignment="1">
      <alignment horizontal="center" vertical="center"/>
    </xf>
    <xf numFmtId="3" fontId="0" fillId="0" borderId="8" xfId="0" applyNumberFormat="1" applyBorder="1" applyAlignment="1">
      <alignment horizontal="center" vertical="center"/>
    </xf>
    <xf numFmtId="9" fontId="0" fillId="0" borderId="8" xfId="0" applyNumberFormat="1" applyBorder="1" applyAlignment="1">
      <alignment horizontal="center" vertical="center"/>
    </xf>
    <xf numFmtId="164" fontId="0" fillId="0" borderId="8" xfId="0" applyNumberFormat="1" applyBorder="1" applyAlignment="1">
      <alignment horizontal="center" vertical="center"/>
    </xf>
    <xf numFmtId="3" fontId="0" fillId="0" borderId="4" xfId="0" applyNumberFormat="1" applyBorder="1" applyAlignment="1">
      <alignment horizontal="center"/>
    </xf>
    <xf numFmtId="9" fontId="0" fillId="0" borderId="4" xfId="0" applyNumberFormat="1" applyBorder="1" applyAlignment="1">
      <alignment horizontal="center" vertical="center"/>
    </xf>
    <xf numFmtId="3" fontId="0" fillId="0" borderId="0" xfId="0" applyNumberFormat="1" applyBorder="1" applyAlignment="1">
      <alignment horizontal="center"/>
    </xf>
    <xf numFmtId="3" fontId="0" fillId="0" borderId="0" xfId="0" applyNumberFormat="1" applyAlignment="1">
      <alignment horizontal="center"/>
    </xf>
    <xf numFmtId="3" fontId="0" fillId="0" borderId="8" xfId="0" applyNumberFormat="1" applyBorder="1" applyAlignment="1">
      <alignment horizontal="center"/>
    </xf>
    <xf numFmtId="0" fontId="0" fillId="0" borderId="0" xfId="0" applyNumberFormat="1" applyFill="1" applyAlignment="1">
      <alignment horizontal="right"/>
    </xf>
    <xf numFmtId="0" fontId="0" fillId="0" borderId="0" xfId="0" applyNumberFormat="1" applyFill="1"/>
    <xf numFmtId="9" fontId="0" fillId="0" borderId="0" xfId="0" applyNumberFormat="1" applyFill="1"/>
    <xf numFmtId="1" fontId="4" fillId="0" borderId="0" xfId="0" applyNumberFormat="1" applyFont="1" applyFill="1" applyAlignment="1">
      <alignment horizontal="center" vertical="center"/>
    </xf>
    <xf numFmtId="10" fontId="7" fillId="0" borderId="0" xfId="3" applyNumberFormat="1" applyFont="1" applyFill="1" applyAlignment="1">
      <alignment horizontal="center" vertical="center" wrapText="1"/>
    </xf>
    <xf numFmtId="9" fontId="4" fillId="0" borderId="0" xfId="0" applyNumberFormat="1" applyFont="1" applyFill="1" applyAlignment="1">
      <alignment horizontal="center" vertical="center"/>
    </xf>
    <xf numFmtId="10" fontId="4" fillId="0" borderId="0" xfId="0" applyNumberFormat="1" applyFont="1" applyFill="1" applyAlignment="1">
      <alignment horizontal="center" vertical="center"/>
    </xf>
    <xf numFmtId="10" fontId="0" fillId="0" borderId="0" xfId="0" applyNumberFormat="1" applyFill="1"/>
    <xf numFmtId="3" fontId="0" fillId="0" borderId="0" xfId="0" applyNumberFormat="1" applyAlignment="1">
      <alignment horizontal="right" vertical="center"/>
    </xf>
    <xf numFmtId="3" fontId="0" fillId="0" borderId="0" xfId="0" applyNumberFormat="1" applyBorder="1" applyAlignment="1">
      <alignment horizontal="right" vertical="center"/>
    </xf>
    <xf numFmtId="3" fontId="0" fillId="0" borderId="0" xfId="0" applyNumberFormat="1" applyFill="1" applyAlignment="1">
      <alignment horizontal="right" vertical="center"/>
    </xf>
    <xf numFmtId="3" fontId="0" fillId="0" borderId="0" xfId="0" applyNumberFormat="1" applyFill="1" applyBorder="1" applyAlignment="1">
      <alignment horizontal="right" vertical="center"/>
    </xf>
    <xf numFmtId="10" fontId="9" fillId="0" borderId="0" xfId="0" applyNumberFormat="1" applyFont="1" applyFill="1"/>
    <xf numFmtId="164" fontId="9" fillId="0" borderId="0" xfId="0" applyNumberFormat="1" applyFont="1" applyFill="1"/>
    <xf numFmtId="164" fontId="0" fillId="0" borderId="0" xfId="0" applyNumberFormat="1" applyFill="1"/>
    <xf numFmtId="10" fontId="0" fillId="0" borderId="0" xfId="0" applyNumberFormat="1" applyAlignment="1">
      <alignment horizontal="right" vertical="center"/>
    </xf>
    <xf numFmtId="10" fontId="0" fillId="0" borderId="0" xfId="0" applyNumberFormat="1" applyBorder="1" applyAlignment="1">
      <alignment horizontal="right" vertical="center"/>
    </xf>
    <xf numFmtId="10" fontId="0" fillId="0" borderId="0" xfId="0" applyNumberFormat="1" applyFill="1" applyAlignment="1">
      <alignment horizontal="right" vertical="center"/>
    </xf>
    <xf numFmtId="0" fontId="17" fillId="0" borderId="0" xfId="0" applyFont="1" applyBorder="1" applyAlignment="1">
      <alignment horizontal="right" vertical="center" wrapText="1"/>
    </xf>
    <xf numFmtId="0" fontId="17" fillId="0" borderId="0" xfId="0" applyFont="1" applyBorder="1" applyAlignment="1">
      <alignment horizontal="right" vertical="center"/>
    </xf>
    <xf numFmtId="0" fontId="17" fillId="0" borderId="0" xfId="0" applyFont="1" applyFill="1" applyBorder="1" applyAlignment="1">
      <alignment horizontal="right" vertical="center"/>
    </xf>
    <xf numFmtId="0" fontId="19" fillId="0" borderId="0" xfId="0" applyFont="1" applyBorder="1" applyAlignment="1">
      <alignment horizontal="center" vertical="center"/>
    </xf>
    <xf numFmtId="0" fontId="19" fillId="0" borderId="0" xfId="0" applyFont="1"/>
    <xf numFmtId="0" fontId="19" fillId="0" borderId="0" xfId="0" applyFont="1" applyBorder="1" applyAlignment="1">
      <alignment horizontal="center" vertical="center" wrapText="1"/>
    </xf>
    <xf numFmtId="0" fontId="19" fillId="0" borderId="0" xfId="2" applyFont="1" applyBorder="1" applyAlignment="1">
      <alignment horizontal="center" vertical="center"/>
    </xf>
    <xf numFmtId="0" fontId="19" fillId="0" borderId="0" xfId="0" applyFont="1" applyFill="1" applyBorder="1" applyAlignment="1">
      <alignment horizontal="center" vertical="center"/>
    </xf>
    <xf numFmtId="0" fontId="19" fillId="0" borderId="0" xfId="0" applyFont="1" applyAlignment="1">
      <alignment wrapText="1"/>
    </xf>
    <xf numFmtId="0" fontId="16" fillId="0" borderId="0" xfId="0" applyFont="1" applyBorder="1"/>
    <xf numFmtId="0" fontId="16" fillId="0" borderId="0" xfId="0" applyFont="1" applyFill="1" applyBorder="1"/>
    <xf numFmtId="0" fontId="16" fillId="0" borderId="0" xfId="0" applyFont="1" applyAlignment="1">
      <alignment horizontal="left"/>
    </xf>
    <xf numFmtId="9" fontId="16" fillId="0" borderId="0" xfId="1" applyNumberFormat="1" applyFont="1" applyFill="1" applyAlignment="1">
      <alignment horizontal="center"/>
    </xf>
    <xf numFmtId="0" fontId="16" fillId="0" borderId="0" xfId="0" applyFont="1" applyAlignment="1"/>
    <xf numFmtId="1" fontId="16" fillId="0" borderId="0" xfId="1" applyNumberFormat="1" applyFont="1" applyAlignment="1">
      <alignment horizontal="center"/>
    </xf>
    <xf numFmtId="0" fontId="16" fillId="0" borderId="0" xfId="0" applyFont="1" applyFill="1" applyAlignment="1"/>
    <xf numFmtId="0" fontId="16" fillId="0" borderId="0" xfId="0" applyFont="1" applyFill="1"/>
    <xf numFmtId="0" fontId="19" fillId="0" borderId="0" xfId="0" applyFont="1" applyFill="1" applyBorder="1" applyAlignment="1">
      <alignment horizontal="center" vertical="center" wrapText="1"/>
    </xf>
    <xf numFmtId="0" fontId="17" fillId="0" borderId="0" xfId="0" applyFont="1" applyFill="1" applyBorder="1" applyAlignment="1">
      <alignment horizontal="right" vertical="center" wrapText="1"/>
    </xf>
    <xf numFmtId="0" fontId="17" fillId="0" borderId="0" xfId="3" applyFont="1" applyAlignment="1">
      <alignment horizontal="center" vertical="center"/>
    </xf>
    <xf numFmtId="0" fontId="16" fillId="0" borderId="0" xfId="0" applyFont="1" applyFill="1" applyBorder="1" applyAlignment="1">
      <alignment horizontal="center"/>
    </xf>
    <xf numFmtId="0" fontId="16" fillId="0" borderId="0" xfId="0" applyFont="1" applyAlignment="1">
      <alignment horizontal="center"/>
    </xf>
    <xf numFmtId="0" fontId="16" fillId="0" borderId="8" xfId="0" applyFont="1" applyBorder="1"/>
    <xf numFmtId="0" fontId="17" fillId="0" borderId="0" xfId="3" applyFont="1" applyFill="1" applyBorder="1" applyAlignment="1">
      <alignment horizontal="center" vertical="center"/>
    </xf>
    <xf numFmtId="0" fontId="19" fillId="0" borderId="0" xfId="0" applyFont="1" applyFill="1"/>
    <xf numFmtId="0" fontId="19" fillId="0" borderId="0" xfId="0" applyFont="1" applyFill="1" applyAlignment="1">
      <alignment wrapText="1"/>
    </xf>
    <xf numFmtId="9" fontId="17" fillId="0" borderId="4" xfId="3" applyNumberFormat="1" applyFont="1" applyFill="1" applyBorder="1" applyAlignment="1">
      <alignment horizontal="center" vertical="center" wrapText="1"/>
    </xf>
    <xf numFmtId="0" fontId="17" fillId="0" borderId="0" xfId="3" applyFont="1" applyFill="1" applyAlignment="1">
      <alignment horizontal="center" vertical="center" wrapText="1"/>
    </xf>
    <xf numFmtId="10" fontId="17" fillId="0" borderId="0" xfId="3" applyNumberFormat="1" applyFont="1" applyFill="1" applyAlignment="1">
      <alignment horizontal="center" vertical="center" wrapText="1"/>
    </xf>
    <xf numFmtId="10" fontId="16" fillId="0" borderId="0" xfId="0" applyNumberFormat="1" applyFont="1" applyFill="1"/>
    <xf numFmtId="9" fontId="16" fillId="0" borderId="0" xfId="0" applyNumberFormat="1" applyFont="1" applyFill="1"/>
    <xf numFmtId="0" fontId="17" fillId="0" borderId="0" xfId="0" applyFont="1" applyBorder="1" applyAlignment="1">
      <alignment horizontal="left" vertical="center" wrapText="1"/>
    </xf>
    <xf numFmtId="0" fontId="16" fillId="0" borderId="0" xfId="0" applyNumberFormat="1" applyFont="1"/>
    <xf numFmtId="0" fontId="18" fillId="0" borderId="0" xfId="0" applyFont="1" applyAlignment="1"/>
    <xf numFmtId="0" fontId="19" fillId="0" borderId="1" xfId="0" applyFont="1" applyBorder="1" applyAlignment="1">
      <alignment horizontal="center" vertical="center" wrapText="1"/>
    </xf>
    <xf numFmtId="0" fontId="6" fillId="3" borderId="0" xfId="0" applyFont="1" applyFill="1"/>
    <xf numFmtId="0" fontId="0" fillId="0" borderId="0" xfId="0" applyAlignment="1">
      <alignment wrapText="1"/>
    </xf>
    <xf numFmtId="0" fontId="20" fillId="0" borderId="0" xfId="0" applyFont="1" applyAlignment="1"/>
    <xf numFmtId="0" fontId="0" fillId="3" borderId="0" xfId="0" applyFill="1"/>
    <xf numFmtId="0" fontId="21" fillId="0" borderId="0" xfId="0" applyFont="1"/>
    <xf numFmtId="0" fontId="20" fillId="0" borderId="0" xfId="0" applyFont="1"/>
    <xf numFmtId="0" fontId="1" fillId="0" borderId="2" xfId="0" applyFont="1" applyBorder="1" applyAlignment="1">
      <alignment horizontal="center"/>
    </xf>
    <xf numFmtId="0" fontId="6" fillId="3" borderId="0" xfId="0" applyFont="1" applyFill="1" applyAlignment="1"/>
    <xf numFmtId="0" fontId="6" fillId="3" borderId="0" xfId="0" applyFont="1" applyFill="1" applyAlignment="1">
      <alignment horizontal="center"/>
    </xf>
    <xf numFmtId="0" fontId="6" fillId="3" borderId="0" xfId="0" applyFont="1" applyFill="1"/>
  </cellXfs>
  <cellStyles count="4">
    <cellStyle name="Normal" xfId="0" builtinId="0"/>
    <cellStyle name="Normal 2" xfId="3"/>
    <cellStyle name="Normal 3"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'AAA Summary'!$L$3</c:f>
          <c:strCache>
            <c:ptCount val="1"/>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'AAA Summary'!$AH$1</c:f>
              <c:strCache>
                <c:ptCount val="1"/>
                <c:pt idx="0">
                  <c:v>%EVAR</c:v>
                </c:pt>
              </c:strCache>
            </c:strRef>
          </c:tx>
          <c:spPr>
            <a:solidFill>
              <a:schemeClr val="accent1"/>
            </a:solidFill>
            <a:ln>
              <a:noFill/>
            </a:ln>
            <a:effectLst/>
          </c:spPr>
          <c:invertIfNegative val="0"/>
          <c:cat>
            <c:strRef>
              <c:f>'AAA Summary'!$AE$2:$AE$68</c:f>
              <c:strCache>
                <c:ptCount val="67"/>
                <c:pt idx="0">
                  <c:v>RF4</c:v>
                </c:pt>
                <c:pt idx="1">
                  <c:v>RJZ</c:v>
                </c:pt>
                <c:pt idx="2">
                  <c:v>SN999</c:v>
                </c:pt>
                <c:pt idx="3">
                  <c:v>RA9</c:v>
                </c:pt>
                <c:pt idx="4">
                  <c:v>RJ7</c:v>
                </c:pt>
                <c:pt idx="5">
                  <c:v>RWH</c:v>
                </c:pt>
                <c:pt idx="6">
                  <c:v>RJR</c:v>
                </c:pt>
                <c:pt idx="7">
                  <c:v>RQW</c:v>
                </c:pt>
                <c:pt idx="8">
                  <c:v>RC9</c:v>
                </c:pt>
                <c:pt idx="9">
                  <c:v>RAJ</c:v>
                </c:pt>
                <c:pt idx="10">
                  <c:v>7A1</c:v>
                </c:pt>
                <c:pt idx="11">
                  <c:v>RDE</c:v>
                </c:pt>
                <c:pt idx="12">
                  <c:v>R0B</c:v>
                </c:pt>
                <c:pt idx="13">
                  <c:v>RWG</c:v>
                </c:pt>
                <c:pt idx="14">
                  <c:v>RYR</c:v>
                </c:pt>
                <c:pt idx="15">
                  <c:v>RM3</c:v>
                </c:pt>
                <c:pt idx="16">
                  <c:v>RXW</c:v>
                </c:pt>
                <c:pt idx="17">
                  <c:v>REM</c:v>
                </c:pt>
                <c:pt idx="18">
                  <c:v>RTR</c:v>
                </c:pt>
                <c:pt idx="19">
                  <c:v>RVV</c:v>
                </c:pt>
                <c:pt idx="20">
                  <c:v>RWE</c:v>
                </c:pt>
                <c:pt idx="21">
                  <c:v>RDU</c:v>
                </c:pt>
                <c:pt idx="22">
                  <c:v>RYJ</c:v>
                </c:pt>
                <c:pt idx="23">
                  <c:v>RVJ</c:v>
                </c:pt>
                <c:pt idx="24">
                  <c:v>RXN</c:v>
                </c:pt>
                <c:pt idx="25">
                  <c:v>SL999</c:v>
                </c:pt>
                <c:pt idx="26">
                  <c:v>RKB</c:v>
                </c:pt>
                <c:pt idx="27">
                  <c:v>RAL</c:v>
                </c:pt>
                <c:pt idx="28">
                  <c:v>RNA</c:v>
                </c:pt>
                <c:pt idx="29">
                  <c:v>RRK</c:v>
                </c:pt>
                <c:pt idx="30">
                  <c:v>RJ1</c:v>
                </c:pt>
                <c:pt idx="31">
                  <c:v>R0A</c:v>
                </c:pt>
                <c:pt idx="32">
                  <c:v>RHM</c:v>
                </c:pt>
                <c:pt idx="33">
                  <c:v>RTG</c:v>
                </c:pt>
                <c:pt idx="34">
                  <c:v>RWP</c:v>
                </c:pt>
                <c:pt idx="35">
                  <c:v>RAE</c:v>
                </c:pt>
                <c:pt idx="36">
                  <c:v>SG999</c:v>
                </c:pt>
                <c:pt idx="37">
                  <c:v>RJE</c:v>
                </c:pt>
                <c:pt idx="38">
                  <c:v>SS999</c:v>
                </c:pt>
                <c:pt idx="39">
                  <c:v>RH5</c:v>
                </c:pt>
                <c:pt idx="40">
                  <c:v>RK9</c:v>
                </c:pt>
                <c:pt idx="41">
                  <c:v>RTE</c:v>
                </c:pt>
                <c:pt idx="42">
                  <c:v>RNS</c:v>
                </c:pt>
                <c:pt idx="43">
                  <c:v>RT3</c:v>
                </c:pt>
                <c:pt idx="44">
                  <c:v>RTD</c:v>
                </c:pt>
                <c:pt idx="45">
                  <c:v>R0D</c:v>
                </c:pt>
                <c:pt idx="46">
                  <c:v>R1H</c:v>
                </c:pt>
                <c:pt idx="47">
                  <c:v>SH999</c:v>
                </c:pt>
                <c:pt idx="48">
                  <c:v>RM1</c:v>
                </c:pt>
                <c:pt idx="49">
                  <c:v>RNN</c:v>
                </c:pt>
                <c:pt idx="50">
                  <c:v>7A3</c:v>
                </c:pt>
                <c:pt idx="51">
                  <c:v>RWD</c:v>
                </c:pt>
                <c:pt idx="52">
                  <c:v>RWA</c:v>
                </c:pt>
                <c:pt idx="53">
                  <c:v>RR8</c:v>
                </c:pt>
                <c:pt idx="54">
                  <c:v>REF</c:v>
                </c:pt>
                <c:pt idx="55">
                  <c:v>RX1</c:v>
                </c:pt>
                <c:pt idx="56">
                  <c:v>RCB</c:v>
                </c:pt>
                <c:pt idx="57">
                  <c:v>RGT</c:v>
                </c:pt>
                <c:pt idx="58">
                  <c:v>RTH</c:v>
                </c:pt>
                <c:pt idx="59">
                  <c:v>RHQ</c:v>
                </c:pt>
                <c:pt idx="60">
                  <c:v>RP5</c:v>
                </c:pt>
                <c:pt idx="61">
                  <c:v>ST999</c:v>
                </c:pt>
                <c:pt idx="62">
                  <c:v>RH8</c:v>
                </c:pt>
                <c:pt idx="63">
                  <c:v>7A4</c:v>
                </c:pt>
                <c:pt idx="64">
                  <c:v>RXR</c:v>
                </c:pt>
                <c:pt idx="65">
                  <c:v>ZT001</c:v>
                </c:pt>
                <c:pt idx="66">
                  <c:v>RBQ</c:v>
                </c:pt>
              </c:strCache>
            </c:strRef>
          </c:cat>
          <c:val>
            <c:numRef>
              <c:f>'AAA Summary'!$AH$2:$AH$68</c:f>
              <c:numCache>
                <c:formatCode>0%</c:formatCode>
                <c:ptCount val="67"/>
                <c:pt idx="0">
                  <c:v>1</c:v>
                </c:pt>
                <c:pt idx="1">
                  <c:v>1</c:v>
                </c:pt>
                <c:pt idx="2">
                  <c:v>1</c:v>
                </c:pt>
                <c:pt idx="3">
                  <c:v>1</c:v>
                </c:pt>
                <c:pt idx="4">
                  <c:v>0.95</c:v>
                </c:pt>
                <c:pt idx="5">
                  <c:v>0.9</c:v>
                </c:pt>
                <c:pt idx="6">
                  <c:v>0.89</c:v>
                </c:pt>
                <c:pt idx="7">
                  <c:v>0.89</c:v>
                </c:pt>
                <c:pt idx="8">
                  <c:v>0.88</c:v>
                </c:pt>
                <c:pt idx="9">
                  <c:v>0.84</c:v>
                </c:pt>
                <c:pt idx="10">
                  <c:v>0.83</c:v>
                </c:pt>
                <c:pt idx="11">
                  <c:v>0.81</c:v>
                </c:pt>
                <c:pt idx="12">
                  <c:v>0.8</c:v>
                </c:pt>
                <c:pt idx="13">
                  <c:v>0.78</c:v>
                </c:pt>
                <c:pt idx="14">
                  <c:v>0.76</c:v>
                </c:pt>
                <c:pt idx="15">
                  <c:v>0.73</c:v>
                </c:pt>
                <c:pt idx="16">
                  <c:v>0.73</c:v>
                </c:pt>
                <c:pt idx="17">
                  <c:v>0.72</c:v>
                </c:pt>
                <c:pt idx="18">
                  <c:v>0.72</c:v>
                </c:pt>
                <c:pt idx="19">
                  <c:v>0.71</c:v>
                </c:pt>
                <c:pt idx="20">
                  <c:v>0.71</c:v>
                </c:pt>
                <c:pt idx="21">
                  <c:v>0.68</c:v>
                </c:pt>
                <c:pt idx="22">
                  <c:v>0.67</c:v>
                </c:pt>
                <c:pt idx="23">
                  <c:v>0.66</c:v>
                </c:pt>
                <c:pt idx="24">
                  <c:v>0.65</c:v>
                </c:pt>
                <c:pt idx="25">
                  <c:v>0.65</c:v>
                </c:pt>
                <c:pt idx="26">
                  <c:v>0.65</c:v>
                </c:pt>
                <c:pt idx="27">
                  <c:v>0.63</c:v>
                </c:pt>
                <c:pt idx="28">
                  <c:v>0.63</c:v>
                </c:pt>
                <c:pt idx="29">
                  <c:v>0.63</c:v>
                </c:pt>
                <c:pt idx="30">
                  <c:v>0.62</c:v>
                </c:pt>
                <c:pt idx="31">
                  <c:v>0.61</c:v>
                </c:pt>
                <c:pt idx="32">
                  <c:v>0.61</c:v>
                </c:pt>
                <c:pt idx="33">
                  <c:v>0.61</c:v>
                </c:pt>
                <c:pt idx="34">
                  <c:v>0.61</c:v>
                </c:pt>
                <c:pt idx="35">
                  <c:v>0.59</c:v>
                </c:pt>
                <c:pt idx="36">
                  <c:v>0.55000000000000004</c:v>
                </c:pt>
                <c:pt idx="37">
                  <c:v>0.54</c:v>
                </c:pt>
                <c:pt idx="38">
                  <c:v>0.52</c:v>
                </c:pt>
                <c:pt idx="39">
                  <c:v>0.52</c:v>
                </c:pt>
                <c:pt idx="40">
                  <c:v>0.52</c:v>
                </c:pt>
                <c:pt idx="41">
                  <c:v>0.5</c:v>
                </c:pt>
                <c:pt idx="42">
                  <c:v>0.5</c:v>
                </c:pt>
                <c:pt idx="43">
                  <c:v>0.5</c:v>
                </c:pt>
                <c:pt idx="44">
                  <c:v>0.46</c:v>
                </c:pt>
                <c:pt idx="45">
                  <c:v>0.46</c:v>
                </c:pt>
                <c:pt idx="46">
                  <c:v>0.45</c:v>
                </c:pt>
                <c:pt idx="47">
                  <c:v>0.45</c:v>
                </c:pt>
                <c:pt idx="48">
                  <c:v>0.45</c:v>
                </c:pt>
                <c:pt idx="49">
                  <c:v>0.45</c:v>
                </c:pt>
                <c:pt idx="50">
                  <c:v>0.45</c:v>
                </c:pt>
                <c:pt idx="51">
                  <c:v>0.45</c:v>
                </c:pt>
                <c:pt idx="52">
                  <c:v>0.44</c:v>
                </c:pt>
                <c:pt idx="53">
                  <c:v>0.44</c:v>
                </c:pt>
                <c:pt idx="54">
                  <c:v>0.44</c:v>
                </c:pt>
                <c:pt idx="55">
                  <c:v>0.43</c:v>
                </c:pt>
                <c:pt idx="56">
                  <c:v>0.4</c:v>
                </c:pt>
                <c:pt idx="57">
                  <c:v>0.39</c:v>
                </c:pt>
                <c:pt idx="58">
                  <c:v>0.39</c:v>
                </c:pt>
                <c:pt idx="59">
                  <c:v>0.39</c:v>
                </c:pt>
                <c:pt idx="60">
                  <c:v>0.38</c:v>
                </c:pt>
                <c:pt idx="61">
                  <c:v>0.35</c:v>
                </c:pt>
                <c:pt idx="62">
                  <c:v>0.27</c:v>
                </c:pt>
                <c:pt idx="63">
                  <c:v>0.26</c:v>
                </c:pt>
                <c:pt idx="64">
                  <c:v>0.26</c:v>
                </c:pt>
                <c:pt idx="65">
                  <c:v>0.23</c:v>
                </c:pt>
                <c:pt idx="66">
                  <c:v>0</c:v>
                </c:pt>
              </c:numCache>
            </c:numRef>
          </c:val>
          <c:extLst>
            <c:ext xmlns:c16="http://schemas.microsoft.com/office/drawing/2014/chart" uri="{C3380CC4-5D6E-409C-BE32-E72D297353CC}">
              <c16:uniqueId val="{00000000-83FF-47A6-A715-2DD39A2E3916}"/>
            </c:ext>
          </c:extLst>
        </c:ser>
        <c:ser>
          <c:idx val="1"/>
          <c:order val="1"/>
          <c:tx>
            <c:strRef>
              <c:f>'AAA Summary'!$AI$1</c:f>
              <c:strCache>
                <c:ptCount val="1"/>
                <c:pt idx="0">
                  <c:v>%Open</c:v>
                </c:pt>
              </c:strCache>
            </c:strRef>
          </c:tx>
          <c:spPr>
            <a:solidFill>
              <a:schemeClr val="accent2"/>
            </a:solidFill>
            <a:ln w="25400">
              <a:noFill/>
            </a:ln>
            <a:effectLst/>
          </c:spPr>
          <c:invertIfNegative val="0"/>
          <c:cat>
            <c:strRef>
              <c:f>'AAA Summary'!$AE$2:$AE$68</c:f>
              <c:strCache>
                <c:ptCount val="67"/>
                <c:pt idx="0">
                  <c:v>RF4</c:v>
                </c:pt>
                <c:pt idx="1">
                  <c:v>RJZ</c:v>
                </c:pt>
                <c:pt idx="2">
                  <c:v>SN999</c:v>
                </c:pt>
                <c:pt idx="3">
                  <c:v>RA9</c:v>
                </c:pt>
                <c:pt idx="4">
                  <c:v>RJ7</c:v>
                </c:pt>
                <c:pt idx="5">
                  <c:v>RWH</c:v>
                </c:pt>
                <c:pt idx="6">
                  <c:v>RJR</c:v>
                </c:pt>
                <c:pt idx="7">
                  <c:v>RQW</c:v>
                </c:pt>
                <c:pt idx="8">
                  <c:v>RC9</c:v>
                </c:pt>
                <c:pt idx="9">
                  <c:v>RAJ</c:v>
                </c:pt>
                <c:pt idx="10">
                  <c:v>7A1</c:v>
                </c:pt>
                <c:pt idx="11">
                  <c:v>RDE</c:v>
                </c:pt>
                <c:pt idx="12">
                  <c:v>R0B</c:v>
                </c:pt>
                <c:pt idx="13">
                  <c:v>RWG</c:v>
                </c:pt>
                <c:pt idx="14">
                  <c:v>RYR</c:v>
                </c:pt>
                <c:pt idx="15">
                  <c:v>RM3</c:v>
                </c:pt>
                <c:pt idx="16">
                  <c:v>RXW</c:v>
                </c:pt>
                <c:pt idx="17">
                  <c:v>REM</c:v>
                </c:pt>
                <c:pt idx="18">
                  <c:v>RTR</c:v>
                </c:pt>
                <c:pt idx="19">
                  <c:v>RVV</c:v>
                </c:pt>
                <c:pt idx="20">
                  <c:v>RWE</c:v>
                </c:pt>
                <c:pt idx="21">
                  <c:v>RDU</c:v>
                </c:pt>
                <c:pt idx="22">
                  <c:v>RYJ</c:v>
                </c:pt>
                <c:pt idx="23">
                  <c:v>RVJ</c:v>
                </c:pt>
                <c:pt idx="24">
                  <c:v>RXN</c:v>
                </c:pt>
                <c:pt idx="25">
                  <c:v>SL999</c:v>
                </c:pt>
                <c:pt idx="26">
                  <c:v>RKB</c:v>
                </c:pt>
                <c:pt idx="27">
                  <c:v>RAL</c:v>
                </c:pt>
                <c:pt idx="28">
                  <c:v>RNA</c:v>
                </c:pt>
                <c:pt idx="29">
                  <c:v>RRK</c:v>
                </c:pt>
                <c:pt idx="30">
                  <c:v>RJ1</c:v>
                </c:pt>
                <c:pt idx="31">
                  <c:v>R0A</c:v>
                </c:pt>
                <c:pt idx="32">
                  <c:v>RHM</c:v>
                </c:pt>
                <c:pt idx="33">
                  <c:v>RTG</c:v>
                </c:pt>
                <c:pt idx="34">
                  <c:v>RWP</c:v>
                </c:pt>
                <c:pt idx="35">
                  <c:v>RAE</c:v>
                </c:pt>
                <c:pt idx="36">
                  <c:v>SG999</c:v>
                </c:pt>
                <c:pt idx="37">
                  <c:v>RJE</c:v>
                </c:pt>
                <c:pt idx="38">
                  <c:v>SS999</c:v>
                </c:pt>
                <c:pt idx="39">
                  <c:v>RH5</c:v>
                </c:pt>
                <c:pt idx="40">
                  <c:v>RK9</c:v>
                </c:pt>
                <c:pt idx="41">
                  <c:v>RTE</c:v>
                </c:pt>
                <c:pt idx="42">
                  <c:v>RNS</c:v>
                </c:pt>
                <c:pt idx="43">
                  <c:v>RT3</c:v>
                </c:pt>
                <c:pt idx="44">
                  <c:v>RTD</c:v>
                </c:pt>
                <c:pt idx="45">
                  <c:v>R0D</c:v>
                </c:pt>
                <c:pt idx="46">
                  <c:v>R1H</c:v>
                </c:pt>
                <c:pt idx="47">
                  <c:v>SH999</c:v>
                </c:pt>
                <c:pt idx="48">
                  <c:v>RM1</c:v>
                </c:pt>
                <c:pt idx="49">
                  <c:v>RNN</c:v>
                </c:pt>
                <c:pt idx="50">
                  <c:v>7A3</c:v>
                </c:pt>
                <c:pt idx="51">
                  <c:v>RWD</c:v>
                </c:pt>
                <c:pt idx="52">
                  <c:v>RWA</c:v>
                </c:pt>
                <c:pt idx="53">
                  <c:v>RR8</c:v>
                </c:pt>
                <c:pt idx="54">
                  <c:v>REF</c:v>
                </c:pt>
                <c:pt idx="55">
                  <c:v>RX1</c:v>
                </c:pt>
                <c:pt idx="56">
                  <c:v>RCB</c:v>
                </c:pt>
                <c:pt idx="57">
                  <c:v>RGT</c:v>
                </c:pt>
                <c:pt idx="58">
                  <c:v>RTH</c:v>
                </c:pt>
                <c:pt idx="59">
                  <c:v>RHQ</c:v>
                </c:pt>
                <c:pt idx="60">
                  <c:v>RP5</c:v>
                </c:pt>
                <c:pt idx="61">
                  <c:v>ST999</c:v>
                </c:pt>
                <c:pt idx="62">
                  <c:v>RH8</c:v>
                </c:pt>
                <c:pt idx="63">
                  <c:v>7A4</c:v>
                </c:pt>
                <c:pt idx="64">
                  <c:v>RXR</c:v>
                </c:pt>
                <c:pt idx="65">
                  <c:v>ZT001</c:v>
                </c:pt>
                <c:pt idx="66">
                  <c:v>RBQ</c:v>
                </c:pt>
              </c:strCache>
            </c:strRef>
          </c:cat>
          <c:val>
            <c:numRef>
              <c:f>'AAA Summary'!$AI$2:$AI$68</c:f>
              <c:numCache>
                <c:formatCode>0%</c:formatCode>
                <c:ptCount val="67"/>
                <c:pt idx="0">
                  <c:v>0</c:v>
                </c:pt>
                <c:pt idx="1">
                  <c:v>0</c:v>
                </c:pt>
                <c:pt idx="2">
                  <c:v>0</c:v>
                </c:pt>
                <c:pt idx="3">
                  <c:v>0</c:v>
                </c:pt>
                <c:pt idx="4">
                  <c:v>0.05</c:v>
                </c:pt>
                <c:pt idx="5">
                  <c:v>0.1</c:v>
                </c:pt>
                <c:pt idx="6">
                  <c:v>0.11</c:v>
                </c:pt>
                <c:pt idx="7">
                  <c:v>0.11</c:v>
                </c:pt>
                <c:pt idx="8">
                  <c:v>0.12</c:v>
                </c:pt>
                <c:pt idx="9">
                  <c:v>0.16</c:v>
                </c:pt>
                <c:pt idx="10">
                  <c:v>0.17</c:v>
                </c:pt>
                <c:pt idx="11">
                  <c:v>0.19</c:v>
                </c:pt>
                <c:pt idx="12">
                  <c:v>0.2</c:v>
                </c:pt>
                <c:pt idx="13">
                  <c:v>0.22</c:v>
                </c:pt>
                <c:pt idx="14">
                  <c:v>0.24</c:v>
                </c:pt>
                <c:pt idx="15">
                  <c:v>0.27</c:v>
                </c:pt>
                <c:pt idx="16">
                  <c:v>0.27</c:v>
                </c:pt>
                <c:pt idx="17">
                  <c:v>0.28000000000000003</c:v>
                </c:pt>
                <c:pt idx="18">
                  <c:v>0.28000000000000003</c:v>
                </c:pt>
                <c:pt idx="19">
                  <c:v>0.28999999999999998</c:v>
                </c:pt>
                <c:pt idx="20">
                  <c:v>0.28999999999999998</c:v>
                </c:pt>
                <c:pt idx="21">
                  <c:v>0.32</c:v>
                </c:pt>
                <c:pt idx="22">
                  <c:v>0.33</c:v>
                </c:pt>
                <c:pt idx="23">
                  <c:v>0.34</c:v>
                </c:pt>
                <c:pt idx="24">
                  <c:v>0.35</c:v>
                </c:pt>
                <c:pt idx="25">
                  <c:v>0.35</c:v>
                </c:pt>
                <c:pt idx="26">
                  <c:v>0.35</c:v>
                </c:pt>
                <c:pt idx="27">
                  <c:v>0.37</c:v>
                </c:pt>
                <c:pt idx="28">
                  <c:v>0.38</c:v>
                </c:pt>
                <c:pt idx="29">
                  <c:v>0.37</c:v>
                </c:pt>
                <c:pt idx="30">
                  <c:v>0.38</c:v>
                </c:pt>
                <c:pt idx="31">
                  <c:v>0.39</c:v>
                </c:pt>
                <c:pt idx="32">
                  <c:v>0.39</c:v>
                </c:pt>
                <c:pt idx="33">
                  <c:v>0.39</c:v>
                </c:pt>
                <c:pt idx="34">
                  <c:v>0.39</c:v>
                </c:pt>
                <c:pt idx="35">
                  <c:v>0.41</c:v>
                </c:pt>
                <c:pt idx="36">
                  <c:v>0.45</c:v>
                </c:pt>
                <c:pt idx="37">
                  <c:v>0.46</c:v>
                </c:pt>
                <c:pt idx="38">
                  <c:v>0.48</c:v>
                </c:pt>
                <c:pt idx="39">
                  <c:v>0.48</c:v>
                </c:pt>
                <c:pt idx="40">
                  <c:v>0.48</c:v>
                </c:pt>
                <c:pt idx="41">
                  <c:v>0.5</c:v>
                </c:pt>
                <c:pt idx="42">
                  <c:v>0.5</c:v>
                </c:pt>
                <c:pt idx="43">
                  <c:v>0.5</c:v>
                </c:pt>
                <c:pt idx="44">
                  <c:v>0.54</c:v>
                </c:pt>
                <c:pt idx="45">
                  <c:v>0.54</c:v>
                </c:pt>
                <c:pt idx="46">
                  <c:v>0.55000000000000004</c:v>
                </c:pt>
                <c:pt idx="47">
                  <c:v>0.55000000000000004</c:v>
                </c:pt>
                <c:pt idx="48">
                  <c:v>0.55000000000000004</c:v>
                </c:pt>
                <c:pt idx="49">
                  <c:v>0.55000000000000004</c:v>
                </c:pt>
                <c:pt idx="50">
                  <c:v>0.55000000000000004</c:v>
                </c:pt>
                <c:pt idx="51">
                  <c:v>0.55000000000000004</c:v>
                </c:pt>
                <c:pt idx="52">
                  <c:v>0.56000000000000005</c:v>
                </c:pt>
                <c:pt idx="53">
                  <c:v>0.56000000000000005</c:v>
                </c:pt>
                <c:pt idx="54">
                  <c:v>0.56000000000000005</c:v>
                </c:pt>
                <c:pt idx="55">
                  <c:v>0.56999999999999995</c:v>
                </c:pt>
                <c:pt idx="56">
                  <c:v>0.6</c:v>
                </c:pt>
                <c:pt idx="57">
                  <c:v>0.61</c:v>
                </c:pt>
                <c:pt idx="58">
                  <c:v>0.61</c:v>
                </c:pt>
                <c:pt idx="59">
                  <c:v>0.61</c:v>
                </c:pt>
                <c:pt idx="60">
                  <c:v>0.63</c:v>
                </c:pt>
                <c:pt idx="61">
                  <c:v>0.65</c:v>
                </c:pt>
                <c:pt idx="62">
                  <c:v>0.73</c:v>
                </c:pt>
                <c:pt idx="63">
                  <c:v>0.74</c:v>
                </c:pt>
                <c:pt idx="64">
                  <c:v>0.74</c:v>
                </c:pt>
                <c:pt idx="65">
                  <c:v>0.77</c:v>
                </c:pt>
                <c:pt idx="66">
                  <c:v>1</c:v>
                </c:pt>
              </c:numCache>
            </c:numRef>
          </c:val>
          <c:extLst>
            <c:ext xmlns:c16="http://schemas.microsoft.com/office/drawing/2014/chart" uri="{C3380CC4-5D6E-409C-BE32-E72D297353CC}">
              <c16:uniqueId val="{00000001-83FF-47A6-A715-2DD39A2E3916}"/>
            </c:ext>
          </c:extLst>
        </c:ser>
        <c:dLbls>
          <c:showLegendKey val="0"/>
          <c:showVal val="0"/>
          <c:showCatName val="0"/>
          <c:showSerName val="0"/>
          <c:showPercent val="0"/>
          <c:showBubbleSize val="0"/>
        </c:dLbls>
        <c:gapWidth val="150"/>
        <c:overlap val="100"/>
        <c:axId val="606186136"/>
        <c:axId val="606183840"/>
      </c:barChart>
      <c:scatterChart>
        <c:scatterStyle val="lineMarker"/>
        <c:varyColors val="0"/>
        <c:ser>
          <c:idx val="2"/>
          <c:order val="2"/>
          <c:tx>
            <c:strRef>
              <c:f>'AAA Summary'!$B$1</c:f>
              <c:strCache>
                <c:ptCount val="1"/>
                <c:pt idx="0">
                  <c:v>Barking, Havering and Redbridge University Hospitals NHS Trust</c:v>
                </c:pt>
              </c:strCache>
            </c:strRef>
          </c:tx>
          <c:spPr>
            <a:ln w="28575" cap="rnd">
              <a:solidFill>
                <a:schemeClr val="accent1"/>
              </a:solidFill>
              <a:round/>
            </a:ln>
            <a:effectLst/>
          </c:spPr>
          <c:marker>
            <c:symbol val="diamond"/>
            <c:size val="8"/>
            <c:spPr>
              <a:solidFill>
                <a:schemeClr val="tx1"/>
              </a:solidFill>
              <a:ln w="9525">
                <a:solidFill>
                  <a:schemeClr val="accent3"/>
                </a:solidFill>
              </a:ln>
              <a:effectLst/>
            </c:spPr>
          </c:marker>
          <c:errBars>
            <c:errDir val="y"/>
            <c:errBarType val="both"/>
            <c:errValType val="fixedVal"/>
            <c:noEndCap val="1"/>
            <c:val val="1"/>
            <c:spPr>
              <a:noFill/>
              <a:ln w="73025" cap="flat" cmpd="sng" algn="ctr">
                <a:solidFill>
                  <a:schemeClr val="tx1">
                    <a:lumMod val="65000"/>
                    <a:lumOff val="35000"/>
                    <a:alpha val="40000"/>
                  </a:schemeClr>
                </a:solidFill>
                <a:round/>
              </a:ln>
              <a:effectLst/>
            </c:spPr>
          </c:errBars>
          <c:errBars>
            <c:errDir val="x"/>
            <c:errBarType val="both"/>
            <c:errValType val="fixedVal"/>
            <c:noEndCap val="1"/>
            <c:val val="1"/>
            <c:spPr>
              <a:noFill/>
              <a:ln w="9525" cap="flat" cmpd="sng" algn="ctr">
                <a:noFill/>
                <a:round/>
              </a:ln>
              <a:effectLst/>
            </c:spPr>
          </c:errBars>
          <c:xVal>
            <c:numRef>
              <c:f>'AAA Summary'!$AD$2</c:f>
              <c:numCache>
                <c:formatCode>General</c:formatCode>
                <c:ptCount val="1"/>
                <c:pt idx="0">
                  <c:v>1</c:v>
                </c:pt>
              </c:numCache>
            </c:numRef>
          </c:xVal>
          <c:yVal>
            <c:numRef>
              <c:f>'AAA Summary'!$AB$2</c:f>
              <c:numCache>
                <c:formatCode>General</c:formatCode>
                <c:ptCount val="1"/>
                <c:pt idx="0">
                  <c:v>1</c:v>
                </c:pt>
              </c:numCache>
            </c:numRef>
          </c:yVal>
          <c:smooth val="0"/>
          <c:extLst>
            <c:ext xmlns:c16="http://schemas.microsoft.com/office/drawing/2014/chart" uri="{C3380CC4-5D6E-409C-BE32-E72D297353CC}">
              <c16:uniqueId val="{00000002-83FF-47A6-A715-2DD39A2E3916}"/>
            </c:ext>
          </c:extLst>
        </c:ser>
        <c:dLbls>
          <c:showLegendKey val="0"/>
          <c:showVal val="0"/>
          <c:showCatName val="0"/>
          <c:showSerName val="0"/>
          <c:showPercent val="0"/>
          <c:showBubbleSize val="0"/>
        </c:dLbls>
        <c:axId val="606186136"/>
        <c:axId val="606183840"/>
      </c:scatterChart>
      <c:catAx>
        <c:axId val="606186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6183840"/>
        <c:crosses val="autoZero"/>
        <c:auto val="1"/>
        <c:lblAlgn val="ctr"/>
        <c:lblOffset val="100"/>
        <c:noMultiLvlLbl val="0"/>
      </c:catAx>
      <c:valAx>
        <c:axId val="6061838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0618613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'Amputation Summary'!$F$2</c:f>
          <c:strCache>
            <c:ptCount val="1"/>
            <c:pt idx="0">
              <c:v>Median (IQR delay from vascular assessment to ampuation (days) for non-elective admissions  2022</c:v>
            </c:pt>
          </c:strCache>
        </c:strRef>
      </c:tx>
      <c:layout>
        <c:manualLayout>
          <c:xMode val="edge"/>
          <c:yMode val="edge"/>
          <c:x val="0.2752619695977388"/>
          <c:y val="1.4084509645578657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strRef>
              <c:f>'Amputation Summary'!$F$2</c:f>
              <c:strCache>
                <c:ptCount val="1"/>
                <c:pt idx="0">
                  <c:v>Median (IQR delay from vascular assessment to ampuation (days) for non-elective admissions  2022</c:v>
                </c:pt>
              </c:strCache>
            </c:strRef>
          </c:tx>
          <c:spPr>
            <a:ln w="28575" cap="rnd">
              <a:noFill/>
              <a:round/>
            </a:ln>
            <a:effectLst/>
          </c:spPr>
          <c:marker>
            <c:symbol val="diamond"/>
            <c:size val="7"/>
            <c:spPr>
              <a:solidFill>
                <a:schemeClr val="accent1"/>
              </a:solidFill>
              <a:ln w="9525">
                <a:noFill/>
              </a:ln>
              <a:effectLst/>
            </c:spPr>
          </c:marker>
          <c:errBars>
            <c:errDir val="y"/>
            <c:errBarType val="both"/>
            <c:errValType val="cust"/>
            <c:noEndCap val="1"/>
            <c:plus>
              <c:numRef>
                <c:f>'Amputation Summary'!$AI$2:$AI$67</c:f>
                <c:numCache>
                  <c:formatCode>General</c:formatCode>
                  <c:ptCount val="66"/>
                  <c:pt idx="0">
                    <c:v>25</c:v>
                  </c:pt>
                  <c:pt idx="1">
                    <c:v>7</c:v>
                  </c:pt>
                  <c:pt idx="2">
                    <c:v>3</c:v>
                  </c:pt>
                  <c:pt idx="3">
                    <c:v>5</c:v>
                  </c:pt>
                  <c:pt idx="4">
                    <c:v>6</c:v>
                  </c:pt>
                  <c:pt idx="5">
                    <c:v>4</c:v>
                  </c:pt>
                  <c:pt idx="6">
                    <c:v>9</c:v>
                  </c:pt>
                  <c:pt idx="7">
                    <c:v>13</c:v>
                  </c:pt>
                  <c:pt idx="8">
                    <c:v>13</c:v>
                  </c:pt>
                  <c:pt idx="9">
                    <c:v>5</c:v>
                  </c:pt>
                  <c:pt idx="10">
                    <c:v>6</c:v>
                  </c:pt>
                  <c:pt idx="11">
                    <c:v>24</c:v>
                  </c:pt>
                  <c:pt idx="12">
                    <c:v>15</c:v>
                  </c:pt>
                  <c:pt idx="13">
                    <c:v>6</c:v>
                  </c:pt>
                  <c:pt idx="14">
                    <c:v>3</c:v>
                  </c:pt>
                  <c:pt idx="15">
                    <c:v>8</c:v>
                  </c:pt>
                  <c:pt idx="16">
                    <c:v>6</c:v>
                  </c:pt>
                  <c:pt idx="17">
                    <c:v>5</c:v>
                  </c:pt>
                  <c:pt idx="18">
                    <c:v>43</c:v>
                  </c:pt>
                  <c:pt idx="19">
                    <c:v>10</c:v>
                  </c:pt>
                  <c:pt idx="20">
                    <c:v>7</c:v>
                  </c:pt>
                  <c:pt idx="21">
                    <c:v>5</c:v>
                  </c:pt>
                  <c:pt idx="22">
                    <c:v>5</c:v>
                  </c:pt>
                  <c:pt idx="23">
                    <c:v>13</c:v>
                  </c:pt>
                  <c:pt idx="24">
                    <c:v>9</c:v>
                  </c:pt>
                  <c:pt idx="25">
                    <c:v>13</c:v>
                  </c:pt>
                  <c:pt idx="26">
                    <c:v>10</c:v>
                  </c:pt>
                  <c:pt idx="27">
                    <c:v>22</c:v>
                  </c:pt>
                  <c:pt idx="28">
                    <c:v>8</c:v>
                  </c:pt>
                  <c:pt idx="29">
                    <c:v>11</c:v>
                  </c:pt>
                  <c:pt idx="30">
                    <c:v>12</c:v>
                  </c:pt>
                  <c:pt idx="31">
                    <c:v>35</c:v>
                  </c:pt>
                  <c:pt idx="32">
                    <c:v>10</c:v>
                  </c:pt>
                  <c:pt idx="33">
                    <c:v>8</c:v>
                  </c:pt>
                  <c:pt idx="34">
                    <c:v>24</c:v>
                  </c:pt>
                  <c:pt idx="35">
                    <c:v>14</c:v>
                  </c:pt>
                  <c:pt idx="36">
                    <c:v>8</c:v>
                  </c:pt>
                  <c:pt idx="37">
                    <c:v>9</c:v>
                  </c:pt>
                  <c:pt idx="38">
                    <c:v>11</c:v>
                  </c:pt>
                  <c:pt idx="39">
                    <c:v>7</c:v>
                  </c:pt>
                  <c:pt idx="40">
                    <c:v>12</c:v>
                  </c:pt>
                  <c:pt idx="41">
                    <c:v>20</c:v>
                  </c:pt>
                  <c:pt idx="42">
                    <c:v>26</c:v>
                  </c:pt>
                  <c:pt idx="43">
                    <c:v>9</c:v>
                  </c:pt>
                  <c:pt idx="44">
                    <c:v>31</c:v>
                  </c:pt>
                  <c:pt idx="45">
                    <c:v>16</c:v>
                  </c:pt>
                  <c:pt idx="46">
                    <c:v>14</c:v>
                  </c:pt>
                  <c:pt idx="47">
                    <c:v>28</c:v>
                  </c:pt>
                  <c:pt idx="48">
                    <c:v>32</c:v>
                  </c:pt>
                  <c:pt idx="49">
                    <c:v>24</c:v>
                  </c:pt>
                  <c:pt idx="50">
                    <c:v>65</c:v>
                  </c:pt>
                  <c:pt idx="51">
                    <c:v>59</c:v>
                  </c:pt>
                  <c:pt idx="52">
                    <c:v>20</c:v>
                  </c:pt>
                  <c:pt idx="53">
                    <c:v>44</c:v>
                  </c:pt>
                  <c:pt idx="54">
                    <c:v>29</c:v>
                  </c:pt>
                  <c:pt idx="55">
                    <c:v>29</c:v>
                  </c:pt>
                </c:numCache>
              </c:numRef>
            </c:plus>
            <c:minus>
              <c:numRef>
                <c:f>'Amputation Summary'!$AH$2:$AH$67</c:f>
                <c:numCache>
                  <c:formatCode>General</c:formatCode>
                  <c:ptCount val="66"/>
                  <c:pt idx="0">
                    <c:v>2</c:v>
                  </c:pt>
                  <c:pt idx="1">
                    <c:v>2</c:v>
                  </c:pt>
                  <c:pt idx="2">
                    <c:v>2</c:v>
                  </c:pt>
                  <c:pt idx="3">
                    <c:v>1</c:v>
                  </c:pt>
                  <c:pt idx="4">
                    <c:v>3</c:v>
                  </c:pt>
                  <c:pt idx="5">
                    <c:v>4</c:v>
                  </c:pt>
                  <c:pt idx="6">
                    <c:v>4</c:v>
                  </c:pt>
                  <c:pt idx="7">
                    <c:v>3</c:v>
                  </c:pt>
                  <c:pt idx="8">
                    <c:v>3</c:v>
                  </c:pt>
                  <c:pt idx="9">
                    <c:v>3</c:v>
                  </c:pt>
                  <c:pt idx="10">
                    <c:v>3</c:v>
                  </c:pt>
                  <c:pt idx="11">
                    <c:v>3</c:v>
                  </c:pt>
                  <c:pt idx="12">
                    <c:v>4</c:v>
                  </c:pt>
                  <c:pt idx="13">
                    <c:v>5</c:v>
                  </c:pt>
                  <c:pt idx="14">
                    <c:v>5</c:v>
                  </c:pt>
                  <c:pt idx="15">
                    <c:v>1</c:v>
                  </c:pt>
                  <c:pt idx="16">
                    <c:v>5</c:v>
                  </c:pt>
                  <c:pt idx="17">
                    <c:v>5</c:v>
                  </c:pt>
                  <c:pt idx="18">
                    <c:v>4</c:v>
                  </c:pt>
                  <c:pt idx="19">
                    <c:v>4</c:v>
                  </c:pt>
                  <c:pt idx="20">
                    <c:v>5</c:v>
                  </c:pt>
                  <c:pt idx="21">
                    <c:v>6</c:v>
                  </c:pt>
                  <c:pt idx="22">
                    <c:v>5</c:v>
                  </c:pt>
                  <c:pt idx="23">
                    <c:v>4</c:v>
                  </c:pt>
                  <c:pt idx="24">
                    <c:v>4</c:v>
                  </c:pt>
                  <c:pt idx="25">
                    <c:v>5</c:v>
                  </c:pt>
                  <c:pt idx="26">
                    <c:v>4</c:v>
                  </c:pt>
                  <c:pt idx="27">
                    <c:v>6</c:v>
                  </c:pt>
                  <c:pt idx="28">
                    <c:v>6</c:v>
                  </c:pt>
                  <c:pt idx="29">
                    <c:v>4</c:v>
                  </c:pt>
                  <c:pt idx="30">
                    <c:v>6</c:v>
                  </c:pt>
                  <c:pt idx="31">
                    <c:v>4</c:v>
                  </c:pt>
                  <c:pt idx="32">
                    <c:v>6</c:v>
                  </c:pt>
                  <c:pt idx="33">
                    <c:v>5</c:v>
                  </c:pt>
                  <c:pt idx="34">
                    <c:v>5</c:v>
                  </c:pt>
                  <c:pt idx="35">
                    <c:v>7</c:v>
                  </c:pt>
                  <c:pt idx="36">
                    <c:v>5</c:v>
                  </c:pt>
                  <c:pt idx="37">
                    <c:v>7</c:v>
                  </c:pt>
                  <c:pt idx="38">
                    <c:v>7</c:v>
                  </c:pt>
                  <c:pt idx="39">
                    <c:v>7</c:v>
                  </c:pt>
                  <c:pt idx="40">
                    <c:v>6</c:v>
                  </c:pt>
                  <c:pt idx="41">
                    <c:v>8</c:v>
                  </c:pt>
                  <c:pt idx="42">
                    <c:v>8</c:v>
                  </c:pt>
                  <c:pt idx="43">
                    <c:v>7</c:v>
                  </c:pt>
                  <c:pt idx="44">
                    <c:v>6</c:v>
                  </c:pt>
                  <c:pt idx="45">
                    <c:v>7</c:v>
                  </c:pt>
                  <c:pt idx="46">
                    <c:v>8</c:v>
                  </c:pt>
                  <c:pt idx="47">
                    <c:v>9</c:v>
                  </c:pt>
                  <c:pt idx="48">
                    <c:v>10</c:v>
                  </c:pt>
                  <c:pt idx="49">
                    <c:v>6</c:v>
                  </c:pt>
                  <c:pt idx="50">
                    <c:v>11</c:v>
                  </c:pt>
                  <c:pt idx="51">
                    <c:v>10</c:v>
                  </c:pt>
                  <c:pt idx="52">
                    <c:v>10</c:v>
                  </c:pt>
                  <c:pt idx="53">
                    <c:v>10</c:v>
                  </c:pt>
                  <c:pt idx="54">
                    <c:v>3</c:v>
                  </c:pt>
                  <c:pt idx="55">
                    <c:v>10</c:v>
                  </c:pt>
                </c:numCache>
              </c:numRef>
            </c:minus>
            <c:spPr>
              <a:noFill/>
              <a:ln w="12700" cap="flat" cmpd="sng" algn="ctr">
                <a:solidFill>
                  <a:schemeClr val="tx1">
                    <a:lumMod val="65000"/>
                    <a:lumOff val="35000"/>
                  </a:schemeClr>
                </a:solidFill>
                <a:round/>
              </a:ln>
              <a:effectLst/>
            </c:spPr>
          </c:errBars>
          <c:cat>
            <c:strRef>
              <c:f>'Amputation Summary'!$AE$2:$AE$57</c:f>
              <c:strCache>
                <c:ptCount val="56"/>
                <c:pt idx="0">
                  <c:v>SH999</c:v>
                </c:pt>
                <c:pt idx="1">
                  <c:v>RXW</c:v>
                </c:pt>
                <c:pt idx="2">
                  <c:v>RM3</c:v>
                </c:pt>
                <c:pt idx="3">
                  <c:v>RTG</c:v>
                </c:pt>
                <c:pt idx="4">
                  <c:v>R0A</c:v>
                </c:pt>
                <c:pt idx="5">
                  <c:v>RXR</c:v>
                </c:pt>
                <c:pt idx="6">
                  <c:v>RNS</c:v>
                </c:pt>
                <c:pt idx="7">
                  <c:v>SL999</c:v>
                </c:pt>
                <c:pt idx="8">
                  <c:v>RVV</c:v>
                </c:pt>
                <c:pt idx="9">
                  <c:v>RJ1</c:v>
                </c:pt>
                <c:pt idx="10">
                  <c:v>7A3</c:v>
                </c:pt>
                <c:pt idx="11">
                  <c:v>RJE</c:v>
                </c:pt>
                <c:pt idx="12">
                  <c:v>RF4</c:v>
                </c:pt>
                <c:pt idx="13">
                  <c:v>RJR</c:v>
                </c:pt>
                <c:pt idx="14">
                  <c:v>RTE</c:v>
                </c:pt>
                <c:pt idx="15">
                  <c:v>RRK</c:v>
                </c:pt>
                <c:pt idx="16">
                  <c:v>RH8</c:v>
                </c:pt>
                <c:pt idx="17">
                  <c:v>R1K</c:v>
                </c:pt>
                <c:pt idx="18">
                  <c:v>SS999</c:v>
                </c:pt>
                <c:pt idx="19">
                  <c:v>REM</c:v>
                </c:pt>
                <c:pt idx="20">
                  <c:v>RAE</c:v>
                </c:pt>
                <c:pt idx="21">
                  <c:v>RH5</c:v>
                </c:pt>
                <c:pt idx="22">
                  <c:v>RGT</c:v>
                </c:pt>
                <c:pt idx="23">
                  <c:v>RDU</c:v>
                </c:pt>
                <c:pt idx="24">
                  <c:v>RVJ</c:v>
                </c:pt>
                <c:pt idx="25">
                  <c:v>RHM</c:v>
                </c:pt>
                <c:pt idx="26">
                  <c:v>RTD</c:v>
                </c:pt>
                <c:pt idx="27">
                  <c:v>RNA</c:v>
                </c:pt>
                <c:pt idx="28">
                  <c:v>RDE</c:v>
                </c:pt>
                <c:pt idx="29">
                  <c:v>RX1</c:v>
                </c:pt>
                <c:pt idx="30">
                  <c:v>R0B</c:v>
                </c:pt>
                <c:pt idx="31">
                  <c:v>RWA</c:v>
                </c:pt>
                <c:pt idx="32">
                  <c:v>R1H</c:v>
                </c:pt>
                <c:pt idx="33">
                  <c:v>RWP</c:v>
                </c:pt>
                <c:pt idx="34">
                  <c:v>RYR</c:v>
                </c:pt>
                <c:pt idx="35">
                  <c:v>RWE</c:v>
                </c:pt>
                <c:pt idx="36">
                  <c:v>RTR</c:v>
                </c:pt>
                <c:pt idx="37">
                  <c:v>RC9</c:v>
                </c:pt>
                <c:pt idx="38">
                  <c:v>7A4</c:v>
                </c:pt>
                <c:pt idx="39">
                  <c:v>RR8</c:v>
                </c:pt>
                <c:pt idx="40">
                  <c:v>RTH</c:v>
                </c:pt>
                <c:pt idx="41">
                  <c:v>RAJ</c:v>
                </c:pt>
                <c:pt idx="42">
                  <c:v>RJ7</c:v>
                </c:pt>
                <c:pt idx="43">
                  <c:v>7A1</c:v>
                </c:pt>
                <c:pt idx="44">
                  <c:v>RNN</c:v>
                </c:pt>
                <c:pt idx="45">
                  <c:v>RXN</c:v>
                </c:pt>
                <c:pt idx="46">
                  <c:v>ST999</c:v>
                </c:pt>
                <c:pt idx="47">
                  <c:v>RK9</c:v>
                </c:pt>
                <c:pt idx="48">
                  <c:v>REF</c:v>
                </c:pt>
                <c:pt idx="49">
                  <c:v>RKB</c:v>
                </c:pt>
                <c:pt idx="50">
                  <c:v>RCB</c:v>
                </c:pt>
                <c:pt idx="51">
                  <c:v>RHQ</c:v>
                </c:pt>
                <c:pt idx="52">
                  <c:v>ZT001</c:v>
                </c:pt>
                <c:pt idx="53">
                  <c:v>RM1</c:v>
                </c:pt>
                <c:pt idx="54">
                  <c:v>RYJ</c:v>
                </c:pt>
                <c:pt idx="55">
                  <c:v>RWD</c:v>
                </c:pt>
              </c:strCache>
            </c:strRef>
          </c:cat>
          <c:val>
            <c:numRef>
              <c:f>'Amputation Summary'!$AG$2:$AG$57</c:f>
              <c:numCache>
                <c:formatCode>General</c:formatCode>
                <c:ptCount val="56"/>
                <c:pt idx="0">
                  <c:v>3</c:v>
                </c:pt>
                <c:pt idx="1">
                  <c:v>3</c:v>
                </c:pt>
                <c:pt idx="2">
                  <c:v>3</c:v>
                </c:pt>
                <c:pt idx="3">
                  <c:v>3</c:v>
                </c:pt>
                <c:pt idx="4">
                  <c:v>4</c:v>
                </c:pt>
                <c:pt idx="5">
                  <c:v>5</c:v>
                </c:pt>
                <c:pt idx="6">
                  <c:v>5</c:v>
                </c:pt>
                <c:pt idx="7">
                  <c:v>5</c:v>
                </c:pt>
                <c:pt idx="8">
                  <c:v>5</c:v>
                </c:pt>
                <c:pt idx="9">
                  <c:v>5</c:v>
                </c:pt>
                <c:pt idx="10">
                  <c:v>5</c:v>
                </c:pt>
                <c:pt idx="11">
                  <c:v>5</c:v>
                </c:pt>
                <c:pt idx="12">
                  <c:v>6</c:v>
                </c:pt>
                <c:pt idx="13">
                  <c:v>6</c:v>
                </c:pt>
                <c:pt idx="14">
                  <c:v>6</c:v>
                </c:pt>
                <c:pt idx="15">
                  <c:v>6</c:v>
                </c:pt>
                <c:pt idx="16">
                  <c:v>7</c:v>
                </c:pt>
                <c:pt idx="17">
                  <c:v>7</c:v>
                </c:pt>
                <c:pt idx="18">
                  <c:v>7</c:v>
                </c:pt>
                <c:pt idx="19">
                  <c:v>7</c:v>
                </c:pt>
                <c:pt idx="20">
                  <c:v>7</c:v>
                </c:pt>
                <c:pt idx="21">
                  <c:v>7</c:v>
                </c:pt>
                <c:pt idx="22">
                  <c:v>7</c:v>
                </c:pt>
                <c:pt idx="23">
                  <c:v>7</c:v>
                </c:pt>
                <c:pt idx="24">
                  <c:v>7</c:v>
                </c:pt>
                <c:pt idx="25">
                  <c:v>8</c:v>
                </c:pt>
                <c:pt idx="26">
                  <c:v>8</c:v>
                </c:pt>
                <c:pt idx="27">
                  <c:v>8</c:v>
                </c:pt>
                <c:pt idx="28">
                  <c:v>8</c:v>
                </c:pt>
                <c:pt idx="29">
                  <c:v>8</c:v>
                </c:pt>
                <c:pt idx="30">
                  <c:v>8</c:v>
                </c:pt>
                <c:pt idx="31">
                  <c:v>8</c:v>
                </c:pt>
                <c:pt idx="32">
                  <c:v>8</c:v>
                </c:pt>
                <c:pt idx="33">
                  <c:v>8</c:v>
                </c:pt>
                <c:pt idx="34">
                  <c:v>8</c:v>
                </c:pt>
                <c:pt idx="35">
                  <c:v>9</c:v>
                </c:pt>
                <c:pt idx="36">
                  <c:v>9</c:v>
                </c:pt>
                <c:pt idx="37">
                  <c:v>9</c:v>
                </c:pt>
                <c:pt idx="38">
                  <c:v>10</c:v>
                </c:pt>
                <c:pt idx="39">
                  <c:v>10</c:v>
                </c:pt>
                <c:pt idx="40">
                  <c:v>11</c:v>
                </c:pt>
                <c:pt idx="41">
                  <c:v>11</c:v>
                </c:pt>
                <c:pt idx="42">
                  <c:v>11</c:v>
                </c:pt>
                <c:pt idx="43">
                  <c:v>12</c:v>
                </c:pt>
                <c:pt idx="44">
                  <c:v>12</c:v>
                </c:pt>
                <c:pt idx="45">
                  <c:v>12</c:v>
                </c:pt>
                <c:pt idx="46">
                  <c:v>13</c:v>
                </c:pt>
                <c:pt idx="47">
                  <c:v>13</c:v>
                </c:pt>
                <c:pt idx="48">
                  <c:v>13</c:v>
                </c:pt>
                <c:pt idx="49">
                  <c:v>13</c:v>
                </c:pt>
                <c:pt idx="50">
                  <c:v>14</c:v>
                </c:pt>
                <c:pt idx="51">
                  <c:v>14</c:v>
                </c:pt>
                <c:pt idx="52">
                  <c:v>15</c:v>
                </c:pt>
                <c:pt idx="53">
                  <c:v>16</c:v>
                </c:pt>
                <c:pt idx="54">
                  <c:v>16</c:v>
                </c:pt>
                <c:pt idx="55">
                  <c:v>25</c:v>
                </c:pt>
              </c:numCache>
            </c:numRef>
          </c:val>
          <c:smooth val="0"/>
          <c:extLst>
            <c:ext xmlns:c16="http://schemas.microsoft.com/office/drawing/2014/chart" uri="{C3380CC4-5D6E-409C-BE32-E72D297353CC}">
              <c16:uniqueId val="{00000000-ED07-4BEF-A997-1ACCCCC0F591}"/>
            </c:ext>
          </c:extLst>
        </c:ser>
        <c:dLbls>
          <c:showLegendKey val="0"/>
          <c:showVal val="0"/>
          <c:showCatName val="0"/>
          <c:showSerName val="0"/>
          <c:showPercent val="0"/>
          <c:showBubbleSize val="0"/>
        </c:dLbls>
        <c:marker val="1"/>
        <c:smooth val="0"/>
        <c:axId val="606186136"/>
        <c:axId val="606183840"/>
      </c:lineChart>
      <c:scatterChart>
        <c:scatterStyle val="lineMarker"/>
        <c:varyColors val="0"/>
        <c:ser>
          <c:idx val="1"/>
          <c:order val="1"/>
          <c:tx>
            <c:strRef>
              <c:f>'Amputation Summary'!$B$1</c:f>
              <c:strCache>
                <c:ptCount val="1"/>
                <c:pt idx="0">
                  <c:v>Barking, Havering and Redbridge University Hospitals NHS Trust</c:v>
                </c:pt>
              </c:strCache>
            </c:strRef>
          </c:tx>
          <c:spPr>
            <a:ln w="25400" cap="rnd">
              <a:noFill/>
              <a:round/>
            </a:ln>
            <a:effectLst/>
          </c:spPr>
          <c:marker>
            <c:symbol val="circle"/>
            <c:size val="5"/>
            <c:spPr>
              <a:solidFill>
                <a:schemeClr val="accent2"/>
              </a:solidFill>
              <a:ln w="9525">
                <a:solidFill>
                  <a:schemeClr val="accent2"/>
                </a:solidFill>
              </a:ln>
              <a:effectLst/>
            </c:spPr>
          </c:marker>
          <c:errBars>
            <c:errDir val="y"/>
            <c:errBarType val="both"/>
            <c:errValType val="cust"/>
            <c:noEndCap val="1"/>
            <c:plus>
              <c:numRef>
                <c:f>'Amputation Summary'!$AC$2</c:f>
                <c:numCache>
                  <c:formatCode>General</c:formatCode>
                  <c:ptCount val="1"/>
                  <c:pt idx="0">
                    <c:v>15</c:v>
                  </c:pt>
                </c:numCache>
              </c:numRef>
            </c:plus>
            <c:minus>
              <c:numRef>
                <c:f>'Amputation Summary'!$AB$2</c:f>
                <c:numCache>
                  <c:formatCode>General</c:formatCode>
                  <c:ptCount val="1"/>
                  <c:pt idx="0">
                    <c:v>4</c:v>
                  </c:pt>
                </c:numCache>
              </c:numRef>
            </c:minus>
            <c:spPr>
              <a:noFill/>
              <a:ln w="9525" cap="flat" cmpd="sng" algn="ctr">
                <a:solidFill>
                  <a:srgbClr val="FF0000"/>
                </a:solidFill>
                <a:round/>
              </a:ln>
              <a:effectLst/>
            </c:spPr>
          </c:errBars>
          <c:xVal>
            <c:numRef>
              <c:f>'Amputation Summary'!$AD$2</c:f>
              <c:numCache>
                <c:formatCode>General</c:formatCode>
                <c:ptCount val="1"/>
                <c:pt idx="0">
                  <c:v>13</c:v>
                </c:pt>
              </c:numCache>
            </c:numRef>
          </c:xVal>
          <c:yVal>
            <c:numRef>
              <c:f>'Amputation Summary'!$AA$2</c:f>
              <c:numCache>
                <c:formatCode>General</c:formatCode>
                <c:ptCount val="1"/>
                <c:pt idx="0">
                  <c:v>6</c:v>
                </c:pt>
              </c:numCache>
            </c:numRef>
          </c:yVal>
          <c:smooth val="0"/>
          <c:extLst>
            <c:ext xmlns:c16="http://schemas.microsoft.com/office/drawing/2014/chart" uri="{C3380CC4-5D6E-409C-BE32-E72D297353CC}">
              <c16:uniqueId val="{00000001-ED07-4BEF-A997-1ACCCCC0F591}"/>
            </c:ext>
          </c:extLst>
        </c:ser>
        <c:dLbls>
          <c:showLegendKey val="0"/>
          <c:showVal val="0"/>
          <c:showCatName val="0"/>
          <c:showSerName val="0"/>
          <c:showPercent val="0"/>
          <c:showBubbleSize val="0"/>
        </c:dLbls>
        <c:axId val="606186136"/>
        <c:axId val="606183840"/>
      </c:scatterChart>
      <c:catAx>
        <c:axId val="606186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606183840"/>
        <c:crosses val="autoZero"/>
        <c:auto val="1"/>
        <c:lblAlgn val="ctr"/>
        <c:lblOffset val="100"/>
        <c:noMultiLvlLbl val="1"/>
      </c:catAx>
      <c:valAx>
        <c:axId val="6061838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606186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'Major Lower Limb Amputation'!$T$7</c:f>
              <c:strCache>
                <c:ptCount val="1"/>
                <c:pt idx="0">
                  <c:v>% Adjusted 30 day in-hospital mortality 2020-2022</c:v>
                </c:pt>
              </c:strCache>
            </c:strRef>
          </c:tx>
          <c:spPr>
            <a:ln w="19050" cap="rnd">
              <a:noFill/>
              <a:round/>
            </a:ln>
            <a:effectLst/>
          </c:spPr>
          <c:marker>
            <c:symbol val="circle"/>
            <c:size val="5"/>
            <c:spPr>
              <a:solidFill>
                <a:schemeClr val="tx1">
                  <a:alpha val="95000"/>
                </a:schemeClr>
              </a:solidFill>
              <a:ln w="12700">
                <a:solidFill>
                  <a:schemeClr val="tx1"/>
                </a:solidFill>
              </a:ln>
              <a:effectLst/>
            </c:spPr>
          </c:marker>
          <c:xVal>
            <c:numRef>
              <c:f>'Major Lower Limb Amputation'!$D$8:$D$74</c:f>
              <c:numCache>
                <c:formatCode>General</c:formatCode>
                <c:ptCount val="67"/>
                <c:pt idx="0">
                  <c:v>78</c:v>
                </c:pt>
                <c:pt idx="1">
                  <c:v>138</c:v>
                </c:pt>
                <c:pt idx="2">
                  <c:v>121</c:v>
                </c:pt>
                <c:pt idx="3">
                  <c:v>372</c:v>
                </c:pt>
                <c:pt idx="4">
                  <c:v>198</c:v>
                </c:pt>
                <c:pt idx="5">
                  <c:v>86</c:v>
                </c:pt>
                <c:pt idx="6">
                  <c:v>228</c:v>
                </c:pt>
                <c:pt idx="7">
                  <c:v>251</c:v>
                </c:pt>
                <c:pt idx="8">
                  <c:v>215</c:v>
                </c:pt>
                <c:pt idx="9">
                  <c:v>36</c:v>
                </c:pt>
                <c:pt idx="10">
                  <c:v>38</c:v>
                </c:pt>
                <c:pt idx="11">
                  <c:v>106</c:v>
                </c:pt>
                <c:pt idx="12">
                  <c:v>121</c:v>
                </c:pt>
                <c:pt idx="13">
                  <c:v>112</c:v>
                </c:pt>
                <c:pt idx="14">
                  <c:v>155</c:v>
                </c:pt>
                <c:pt idx="15">
                  <c:v>78</c:v>
                </c:pt>
                <c:pt idx="16">
                  <c:v>175</c:v>
                </c:pt>
                <c:pt idx="17">
                  <c:v>226</c:v>
                </c:pt>
                <c:pt idx="18">
                  <c:v>124</c:v>
                </c:pt>
                <c:pt idx="19">
                  <c:v>36</c:v>
                </c:pt>
                <c:pt idx="20">
                  <c:v>270</c:v>
                </c:pt>
                <c:pt idx="21">
                  <c:v>232</c:v>
                </c:pt>
                <c:pt idx="22">
                  <c:v>200</c:v>
                </c:pt>
                <c:pt idx="23">
                  <c:v>69</c:v>
                </c:pt>
                <c:pt idx="24">
                  <c:v>107</c:v>
                </c:pt>
                <c:pt idx="25">
                  <c:v>20</c:v>
                </c:pt>
                <c:pt idx="26">
                  <c:v>221</c:v>
                </c:pt>
                <c:pt idx="27">
                  <c:v>274</c:v>
                </c:pt>
                <c:pt idx="28">
                  <c:v>30</c:v>
                </c:pt>
                <c:pt idx="29">
                  <c:v>17</c:v>
                </c:pt>
                <c:pt idx="30">
                  <c:v>6</c:v>
                </c:pt>
                <c:pt idx="31">
                  <c:v>100</c:v>
                </c:pt>
                <c:pt idx="32">
                  <c:v>301</c:v>
                </c:pt>
                <c:pt idx="33">
                  <c:v>35</c:v>
                </c:pt>
                <c:pt idx="34">
                  <c:v>85</c:v>
                </c:pt>
                <c:pt idx="35">
                  <c:v>257</c:v>
                </c:pt>
                <c:pt idx="36">
                  <c:v>182</c:v>
                </c:pt>
                <c:pt idx="37">
                  <c:v>92</c:v>
                </c:pt>
                <c:pt idx="38">
                  <c:v>90</c:v>
                </c:pt>
                <c:pt idx="39">
                  <c:v>203</c:v>
                </c:pt>
                <c:pt idx="40">
                  <c:v>249</c:v>
                </c:pt>
                <c:pt idx="41">
                  <c:v>100</c:v>
                </c:pt>
                <c:pt idx="42">
                  <c:v>15</c:v>
                </c:pt>
                <c:pt idx="43">
                  <c:v>102</c:v>
                </c:pt>
                <c:pt idx="44">
                  <c:v>127</c:v>
                </c:pt>
                <c:pt idx="45">
                  <c:v>66</c:v>
                </c:pt>
                <c:pt idx="46">
                  <c:v>66</c:v>
                </c:pt>
                <c:pt idx="47">
                  <c:v>120</c:v>
                </c:pt>
                <c:pt idx="48">
                  <c:v>64</c:v>
                </c:pt>
                <c:pt idx="49">
                  <c:v>184</c:v>
                </c:pt>
                <c:pt idx="50">
                  <c:v>291</c:v>
                </c:pt>
                <c:pt idx="51">
                  <c:v>82</c:v>
                </c:pt>
                <c:pt idx="52">
                  <c:v>284</c:v>
                </c:pt>
                <c:pt idx="53">
                  <c:v>161</c:v>
                </c:pt>
                <c:pt idx="54">
                  <c:v>93</c:v>
                </c:pt>
                <c:pt idx="55">
                  <c:v>249</c:v>
                </c:pt>
                <c:pt idx="56">
                  <c:v>213</c:v>
                </c:pt>
                <c:pt idx="57">
                  <c:v>301</c:v>
                </c:pt>
                <c:pt idx="58">
                  <c:v>342</c:v>
                </c:pt>
                <c:pt idx="59">
                  <c:v>85</c:v>
                </c:pt>
                <c:pt idx="60">
                  <c:v>72</c:v>
                </c:pt>
                <c:pt idx="61">
                  <c:v>122</c:v>
                </c:pt>
                <c:pt idx="62">
                  <c:v>146</c:v>
                </c:pt>
                <c:pt idx="63">
                  <c:v>59</c:v>
                </c:pt>
                <c:pt idx="64">
                  <c:v>29</c:v>
                </c:pt>
                <c:pt idx="65">
                  <c:v>126</c:v>
                </c:pt>
                <c:pt idx="66">
                  <c:v>122</c:v>
                </c:pt>
              </c:numCache>
            </c:numRef>
          </c:xVal>
          <c:yVal>
            <c:numRef>
              <c:f>'Major Lower Limb Amputation'!$T$8:$T$74</c:f>
              <c:numCache>
                <c:formatCode>0.0%</c:formatCode>
                <c:ptCount val="67"/>
                <c:pt idx="0">
                  <c:v>0.108</c:v>
                </c:pt>
                <c:pt idx="1">
                  <c:v>0.126</c:v>
                </c:pt>
                <c:pt idx="2">
                  <c:v>5.5E-2</c:v>
                </c:pt>
                <c:pt idx="3">
                  <c:v>3.7999999999999999E-2</c:v>
                </c:pt>
                <c:pt idx="4">
                  <c:v>4.8000000000000001E-2</c:v>
                </c:pt>
                <c:pt idx="5">
                  <c:v>7.5999999999999998E-2</c:v>
                </c:pt>
                <c:pt idx="6">
                  <c:v>7.6999999999999999E-2</c:v>
                </c:pt>
                <c:pt idx="7">
                  <c:v>8.4000000000000005E-2</c:v>
                </c:pt>
                <c:pt idx="8">
                  <c:v>5.6000000000000001E-2</c:v>
                </c:pt>
                <c:pt idx="9">
                  <c:v>2.9000000000000001E-2</c:v>
                </c:pt>
                <c:pt idx="10">
                  <c:v>7.0999999999999994E-2</c:v>
                </c:pt>
                <c:pt idx="11">
                  <c:v>5.0999999999999997E-2</c:v>
                </c:pt>
                <c:pt idx="12">
                  <c:v>7.1999999999999995E-2</c:v>
                </c:pt>
                <c:pt idx="13">
                  <c:v>3.5000000000000003E-2</c:v>
                </c:pt>
                <c:pt idx="14">
                  <c:v>5.3999999999999999E-2</c:v>
                </c:pt>
                <c:pt idx="15">
                  <c:v>6.8000000000000005E-2</c:v>
                </c:pt>
                <c:pt idx="16">
                  <c:v>0.10100000000000001</c:v>
                </c:pt>
                <c:pt idx="17">
                  <c:v>7.3999999999999996E-2</c:v>
                </c:pt>
                <c:pt idx="18">
                  <c:v>0.122</c:v>
                </c:pt>
                <c:pt idx="19">
                  <c:v>0.129</c:v>
                </c:pt>
                <c:pt idx="20">
                  <c:v>8.3000000000000004E-2</c:v>
                </c:pt>
                <c:pt idx="21">
                  <c:v>5.6000000000000001E-2</c:v>
                </c:pt>
                <c:pt idx="22">
                  <c:v>7.5999999999999998E-2</c:v>
                </c:pt>
                <c:pt idx="23">
                  <c:v>8.1000000000000003E-2</c:v>
                </c:pt>
                <c:pt idx="24">
                  <c:v>8.6999999999999994E-2</c:v>
                </c:pt>
                <c:pt idx="25">
                  <c:v>6.8000000000000005E-2</c:v>
                </c:pt>
                <c:pt idx="26">
                  <c:v>9.5000000000000001E-2</c:v>
                </c:pt>
                <c:pt idx="27">
                  <c:v>7.8E-2</c:v>
                </c:pt>
                <c:pt idx="28">
                  <c:v>0.124</c:v>
                </c:pt>
                <c:pt idx="29">
                  <c:v>9.0999999999999998E-2</c:v>
                </c:pt>
                <c:pt idx="30">
                  <c:v>0.26300000000000001</c:v>
                </c:pt>
                <c:pt idx="31">
                  <c:v>6.3E-2</c:v>
                </c:pt>
                <c:pt idx="32">
                  <c:v>6.8000000000000005E-2</c:v>
                </c:pt>
                <c:pt idx="33">
                  <c:v>4.1000000000000002E-2</c:v>
                </c:pt>
                <c:pt idx="34">
                  <c:v>8.4000000000000005E-2</c:v>
                </c:pt>
                <c:pt idx="35">
                  <c:v>0.05</c:v>
                </c:pt>
                <c:pt idx="36">
                  <c:v>1.4999999999999999E-2</c:v>
                </c:pt>
                <c:pt idx="37">
                  <c:v>9.2999999999999999E-2</c:v>
                </c:pt>
                <c:pt idx="38">
                  <c:v>4.2000000000000003E-2</c:v>
                </c:pt>
                <c:pt idx="39">
                  <c:v>0.111</c:v>
                </c:pt>
                <c:pt idx="40">
                  <c:v>8.3000000000000004E-2</c:v>
                </c:pt>
                <c:pt idx="41">
                  <c:v>5.2999999999999999E-2</c:v>
                </c:pt>
                <c:pt idx="42">
                  <c:v>0.191</c:v>
                </c:pt>
                <c:pt idx="43">
                  <c:v>3.5999999999999997E-2</c:v>
                </c:pt>
                <c:pt idx="44">
                  <c:v>0.03</c:v>
                </c:pt>
                <c:pt idx="45">
                  <c:v>0.08</c:v>
                </c:pt>
                <c:pt idx="46">
                  <c:v>5.8000000000000003E-2</c:v>
                </c:pt>
                <c:pt idx="47">
                  <c:v>7.3999999999999996E-2</c:v>
                </c:pt>
                <c:pt idx="48">
                  <c:v>6.4000000000000001E-2</c:v>
                </c:pt>
                <c:pt idx="49">
                  <c:v>3.1E-2</c:v>
                </c:pt>
                <c:pt idx="50">
                  <c:v>4.9000000000000002E-2</c:v>
                </c:pt>
                <c:pt idx="51">
                  <c:v>7.2999999999999995E-2</c:v>
                </c:pt>
                <c:pt idx="52">
                  <c:v>6.9000000000000006E-2</c:v>
                </c:pt>
                <c:pt idx="53">
                  <c:v>8.8999999999999996E-2</c:v>
                </c:pt>
                <c:pt idx="54">
                  <c:v>5.8000000000000003E-2</c:v>
                </c:pt>
                <c:pt idx="55">
                  <c:v>7.6999999999999999E-2</c:v>
                </c:pt>
                <c:pt idx="56">
                  <c:v>6.4000000000000001E-2</c:v>
                </c:pt>
                <c:pt idx="57">
                  <c:v>4.2000000000000003E-2</c:v>
                </c:pt>
                <c:pt idx="58">
                  <c:v>5.6000000000000001E-2</c:v>
                </c:pt>
                <c:pt idx="59">
                  <c:v>7.0999999999999994E-2</c:v>
                </c:pt>
                <c:pt idx="60">
                  <c:v>3.2000000000000001E-2</c:v>
                </c:pt>
                <c:pt idx="61">
                  <c:v>5.2999999999999999E-2</c:v>
                </c:pt>
                <c:pt idx="62">
                  <c:v>3.5000000000000003E-2</c:v>
                </c:pt>
                <c:pt idx="63">
                  <c:v>2.8000000000000001E-2</c:v>
                </c:pt>
                <c:pt idx="64">
                  <c:v>4.3999999999999997E-2</c:v>
                </c:pt>
                <c:pt idx="65">
                  <c:v>7.0999999999999994E-2</c:v>
                </c:pt>
                <c:pt idx="66">
                  <c:v>0.11700000000000001</c:v>
                </c:pt>
              </c:numCache>
            </c:numRef>
          </c:yVal>
          <c:smooth val="0"/>
          <c:extLst>
            <c:ext xmlns:c16="http://schemas.microsoft.com/office/drawing/2014/chart" uri="{C3380CC4-5D6E-409C-BE32-E72D297353CC}">
              <c16:uniqueId val="{00000001-9BD1-4474-9717-5A498CE732C2}"/>
            </c:ext>
          </c:extLst>
        </c:ser>
        <c:ser>
          <c:idx val="1"/>
          <c:order val="1"/>
          <c:tx>
            <c:v>National Rate</c:v>
          </c:tx>
          <c:spPr>
            <a:ln w="19050" cap="rnd">
              <a:solidFill>
                <a:srgbClr val="00B050"/>
              </a:solidFill>
              <a:round/>
            </a:ln>
            <a:effectLst/>
          </c:spPr>
          <c:marker>
            <c:symbol val="none"/>
          </c:marker>
          <c:xVal>
            <c:numRef>
              <c:f>'Amp Funnel'!$B$2:$B$61</c:f>
              <c:numCache>
                <c:formatCode>General</c:formatCode>
                <c:ptCount val="60"/>
                <c:pt idx="0" formatCode="0">
                  <c:v>0</c:v>
                </c:pt>
                <c:pt idx="1">
                  <c:v>6</c:v>
                </c:pt>
                <c:pt idx="2">
                  <c:v>15</c:v>
                </c:pt>
                <c:pt idx="3">
                  <c:v>17</c:v>
                </c:pt>
                <c:pt idx="4">
                  <c:v>20</c:v>
                </c:pt>
                <c:pt idx="5">
                  <c:v>29</c:v>
                </c:pt>
                <c:pt idx="6">
                  <c:v>30</c:v>
                </c:pt>
                <c:pt idx="7">
                  <c:v>35</c:v>
                </c:pt>
                <c:pt idx="8">
                  <c:v>36</c:v>
                </c:pt>
                <c:pt idx="9">
                  <c:v>38</c:v>
                </c:pt>
                <c:pt idx="10">
                  <c:v>59</c:v>
                </c:pt>
                <c:pt idx="11">
                  <c:v>64</c:v>
                </c:pt>
                <c:pt idx="12">
                  <c:v>66</c:v>
                </c:pt>
                <c:pt idx="13">
                  <c:v>69</c:v>
                </c:pt>
                <c:pt idx="14">
                  <c:v>72</c:v>
                </c:pt>
                <c:pt idx="15">
                  <c:v>78</c:v>
                </c:pt>
                <c:pt idx="16">
                  <c:v>82</c:v>
                </c:pt>
                <c:pt idx="17">
                  <c:v>85</c:v>
                </c:pt>
                <c:pt idx="18">
                  <c:v>86</c:v>
                </c:pt>
                <c:pt idx="19">
                  <c:v>90</c:v>
                </c:pt>
                <c:pt idx="20">
                  <c:v>92</c:v>
                </c:pt>
                <c:pt idx="21">
                  <c:v>93</c:v>
                </c:pt>
                <c:pt idx="22">
                  <c:v>100</c:v>
                </c:pt>
                <c:pt idx="23">
                  <c:v>102</c:v>
                </c:pt>
                <c:pt idx="24">
                  <c:v>106</c:v>
                </c:pt>
                <c:pt idx="25">
                  <c:v>107</c:v>
                </c:pt>
                <c:pt idx="26">
                  <c:v>112</c:v>
                </c:pt>
                <c:pt idx="27">
                  <c:v>120</c:v>
                </c:pt>
                <c:pt idx="28">
                  <c:v>121</c:v>
                </c:pt>
                <c:pt idx="29">
                  <c:v>122</c:v>
                </c:pt>
                <c:pt idx="30">
                  <c:v>124</c:v>
                </c:pt>
                <c:pt idx="31">
                  <c:v>126</c:v>
                </c:pt>
                <c:pt idx="32">
                  <c:v>127</c:v>
                </c:pt>
                <c:pt idx="33">
                  <c:v>138</c:v>
                </c:pt>
                <c:pt idx="34">
                  <c:v>146</c:v>
                </c:pt>
                <c:pt idx="35">
                  <c:v>155</c:v>
                </c:pt>
                <c:pt idx="36">
                  <c:v>161</c:v>
                </c:pt>
                <c:pt idx="37">
                  <c:v>175</c:v>
                </c:pt>
                <c:pt idx="38">
                  <c:v>182</c:v>
                </c:pt>
                <c:pt idx="39">
                  <c:v>184</c:v>
                </c:pt>
                <c:pt idx="40">
                  <c:v>198</c:v>
                </c:pt>
                <c:pt idx="41">
                  <c:v>200</c:v>
                </c:pt>
                <c:pt idx="42">
                  <c:v>203</c:v>
                </c:pt>
                <c:pt idx="43">
                  <c:v>213</c:v>
                </c:pt>
                <c:pt idx="44">
                  <c:v>215</c:v>
                </c:pt>
                <c:pt idx="45">
                  <c:v>221</c:v>
                </c:pt>
                <c:pt idx="46">
                  <c:v>226</c:v>
                </c:pt>
                <c:pt idx="47">
                  <c:v>228</c:v>
                </c:pt>
                <c:pt idx="48">
                  <c:v>232</c:v>
                </c:pt>
                <c:pt idx="49">
                  <c:v>249</c:v>
                </c:pt>
                <c:pt idx="50">
                  <c:v>251</c:v>
                </c:pt>
                <c:pt idx="51">
                  <c:v>257</c:v>
                </c:pt>
                <c:pt idx="52">
                  <c:v>270</c:v>
                </c:pt>
                <c:pt idx="53">
                  <c:v>274</c:v>
                </c:pt>
                <c:pt idx="54">
                  <c:v>284</c:v>
                </c:pt>
                <c:pt idx="55">
                  <c:v>291</c:v>
                </c:pt>
                <c:pt idx="56">
                  <c:v>301</c:v>
                </c:pt>
                <c:pt idx="57">
                  <c:v>342</c:v>
                </c:pt>
                <c:pt idx="58">
                  <c:v>372</c:v>
                </c:pt>
                <c:pt idx="59" formatCode="0">
                  <c:v>400</c:v>
                </c:pt>
              </c:numCache>
            </c:numRef>
          </c:xVal>
          <c:yVal>
            <c:numRef>
              <c:f>'Amp Funnel'!$D$2:$D$61</c:f>
              <c:numCache>
                <c:formatCode>0.0%</c:formatCode>
                <c:ptCount val="60"/>
                <c:pt idx="0">
                  <c:v>6.5000000000000002E-2</c:v>
                </c:pt>
                <c:pt idx="1">
                  <c:v>6.5000000000000002E-2</c:v>
                </c:pt>
                <c:pt idx="2">
                  <c:v>6.5000000000000002E-2</c:v>
                </c:pt>
                <c:pt idx="3">
                  <c:v>6.5000000000000002E-2</c:v>
                </c:pt>
                <c:pt idx="4">
                  <c:v>6.5000000000000002E-2</c:v>
                </c:pt>
                <c:pt idx="5">
                  <c:v>6.5000000000000002E-2</c:v>
                </c:pt>
                <c:pt idx="6">
                  <c:v>6.5000000000000002E-2</c:v>
                </c:pt>
                <c:pt idx="7">
                  <c:v>6.5000000000000002E-2</c:v>
                </c:pt>
                <c:pt idx="8">
                  <c:v>6.5000000000000002E-2</c:v>
                </c:pt>
                <c:pt idx="9">
                  <c:v>6.5000000000000002E-2</c:v>
                </c:pt>
                <c:pt idx="10">
                  <c:v>6.5000000000000002E-2</c:v>
                </c:pt>
                <c:pt idx="11">
                  <c:v>6.5000000000000002E-2</c:v>
                </c:pt>
                <c:pt idx="12">
                  <c:v>6.5000000000000002E-2</c:v>
                </c:pt>
                <c:pt idx="13">
                  <c:v>6.5000000000000002E-2</c:v>
                </c:pt>
                <c:pt idx="14">
                  <c:v>6.5000000000000002E-2</c:v>
                </c:pt>
                <c:pt idx="15">
                  <c:v>6.5000000000000002E-2</c:v>
                </c:pt>
                <c:pt idx="16">
                  <c:v>6.5000000000000002E-2</c:v>
                </c:pt>
                <c:pt idx="17">
                  <c:v>6.5000000000000002E-2</c:v>
                </c:pt>
                <c:pt idx="18">
                  <c:v>6.5000000000000002E-2</c:v>
                </c:pt>
                <c:pt idx="19">
                  <c:v>6.5000000000000002E-2</c:v>
                </c:pt>
                <c:pt idx="20">
                  <c:v>6.5000000000000002E-2</c:v>
                </c:pt>
                <c:pt idx="21">
                  <c:v>6.5000000000000002E-2</c:v>
                </c:pt>
                <c:pt idx="22">
                  <c:v>6.5000000000000002E-2</c:v>
                </c:pt>
                <c:pt idx="23">
                  <c:v>6.5000000000000002E-2</c:v>
                </c:pt>
                <c:pt idx="24">
                  <c:v>6.5000000000000002E-2</c:v>
                </c:pt>
                <c:pt idx="25">
                  <c:v>6.5000000000000002E-2</c:v>
                </c:pt>
                <c:pt idx="26">
                  <c:v>6.5000000000000002E-2</c:v>
                </c:pt>
                <c:pt idx="27">
                  <c:v>6.5000000000000002E-2</c:v>
                </c:pt>
                <c:pt idx="28">
                  <c:v>6.5000000000000002E-2</c:v>
                </c:pt>
                <c:pt idx="29">
                  <c:v>6.5000000000000002E-2</c:v>
                </c:pt>
                <c:pt idx="30">
                  <c:v>6.5000000000000002E-2</c:v>
                </c:pt>
                <c:pt idx="31">
                  <c:v>6.5000000000000002E-2</c:v>
                </c:pt>
                <c:pt idx="32">
                  <c:v>6.5000000000000002E-2</c:v>
                </c:pt>
                <c:pt idx="33">
                  <c:v>6.5000000000000002E-2</c:v>
                </c:pt>
                <c:pt idx="34">
                  <c:v>6.5000000000000002E-2</c:v>
                </c:pt>
                <c:pt idx="35">
                  <c:v>6.5000000000000002E-2</c:v>
                </c:pt>
                <c:pt idx="36">
                  <c:v>6.5000000000000002E-2</c:v>
                </c:pt>
                <c:pt idx="37">
                  <c:v>6.5000000000000002E-2</c:v>
                </c:pt>
                <c:pt idx="38">
                  <c:v>6.5000000000000002E-2</c:v>
                </c:pt>
                <c:pt idx="39">
                  <c:v>6.5000000000000002E-2</c:v>
                </c:pt>
                <c:pt idx="40">
                  <c:v>6.5000000000000002E-2</c:v>
                </c:pt>
                <c:pt idx="41">
                  <c:v>6.5000000000000002E-2</c:v>
                </c:pt>
                <c:pt idx="42">
                  <c:v>6.5000000000000002E-2</c:v>
                </c:pt>
                <c:pt idx="43">
                  <c:v>6.5000000000000002E-2</c:v>
                </c:pt>
                <c:pt idx="44">
                  <c:v>6.5000000000000002E-2</c:v>
                </c:pt>
                <c:pt idx="45">
                  <c:v>6.5000000000000002E-2</c:v>
                </c:pt>
                <c:pt idx="46">
                  <c:v>6.5000000000000002E-2</c:v>
                </c:pt>
                <c:pt idx="47">
                  <c:v>6.5000000000000002E-2</c:v>
                </c:pt>
                <c:pt idx="48">
                  <c:v>6.5000000000000002E-2</c:v>
                </c:pt>
                <c:pt idx="49">
                  <c:v>6.5000000000000002E-2</c:v>
                </c:pt>
                <c:pt idx="50">
                  <c:v>6.5000000000000002E-2</c:v>
                </c:pt>
                <c:pt idx="51">
                  <c:v>6.5000000000000002E-2</c:v>
                </c:pt>
                <c:pt idx="52">
                  <c:v>6.5000000000000002E-2</c:v>
                </c:pt>
                <c:pt idx="53">
                  <c:v>6.5000000000000002E-2</c:v>
                </c:pt>
                <c:pt idx="54">
                  <c:v>6.5000000000000002E-2</c:v>
                </c:pt>
                <c:pt idx="55">
                  <c:v>6.5000000000000002E-2</c:v>
                </c:pt>
                <c:pt idx="56">
                  <c:v>6.5000000000000002E-2</c:v>
                </c:pt>
                <c:pt idx="57">
                  <c:v>6.5000000000000002E-2</c:v>
                </c:pt>
                <c:pt idx="58">
                  <c:v>6.5000000000000002E-2</c:v>
                </c:pt>
                <c:pt idx="59">
                  <c:v>6.5000000000000002E-2</c:v>
                </c:pt>
              </c:numCache>
            </c:numRef>
          </c:yVal>
          <c:smooth val="0"/>
          <c:extLst>
            <c:ext xmlns:c16="http://schemas.microsoft.com/office/drawing/2014/chart" uri="{C3380CC4-5D6E-409C-BE32-E72D297353CC}">
              <c16:uniqueId val="{00000001-2112-4B75-AF85-49F97078E3D4}"/>
            </c:ext>
          </c:extLst>
        </c:ser>
        <c:ser>
          <c:idx val="2"/>
          <c:order val="2"/>
          <c:tx>
            <c:v>Upper Funnel Limits</c:v>
          </c:tx>
          <c:spPr>
            <a:ln w="19050" cap="rnd">
              <a:solidFill>
                <a:srgbClr val="0070C0"/>
              </a:solidFill>
              <a:prstDash val="dash"/>
              <a:round/>
            </a:ln>
            <a:effectLst/>
          </c:spPr>
          <c:marker>
            <c:symbol val="none"/>
          </c:marker>
          <c:xVal>
            <c:numRef>
              <c:f>'Amp Funnel'!$B$2:$B$61</c:f>
              <c:numCache>
                <c:formatCode>General</c:formatCode>
                <c:ptCount val="60"/>
                <c:pt idx="0" formatCode="0">
                  <c:v>0</c:v>
                </c:pt>
                <c:pt idx="1">
                  <c:v>6</c:v>
                </c:pt>
                <c:pt idx="2">
                  <c:v>15</c:v>
                </c:pt>
                <c:pt idx="3">
                  <c:v>17</c:v>
                </c:pt>
                <c:pt idx="4">
                  <c:v>20</c:v>
                </c:pt>
                <c:pt idx="5">
                  <c:v>29</c:v>
                </c:pt>
                <c:pt idx="6">
                  <c:v>30</c:v>
                </c:pt>
                <c:pt idx="7">
                  <c:v>35</c:v>
                </c:pt>
                <c:pt idx="8">
                  <c:v>36</c:v>
                </c:pt>
                <c:pt idx="9">
                  <c:v>38</c:v>
                </c:pt>
                <c:pt idx="10">
                  <c:v>59</c:v>
                </c:pt>
                <c:pt idx="11">
                  <c:v>64</c:v>
                </c:pt>
                <c:pt idx="12">
                  <c:v>66</c:v>
                </c:pt>
                <c:pt idx="13">
                  <c:v>69</c:v>
                </c:pt>
                <c:pt idx="14">
                  <c:v>72</c:v>
                </c:pt>
                <c:pt idx="15">
                  <c:v>78</c:v>
                </c:pt>
                <c:pt idx="16">
                  <c:v>82</c:v>
                </c:pt>
                <c:pt idx="17">
                  <c:v>85</c:v>
                </c:pt>
                <c:pt idx="18">
                  <c:v>86</c:v>
                </c:pt>
                <c:pt idx="19">
                  <c:v>90</c:v>
                </c:pt>
                <c:pt idx="20">
                  <c:v>92</c:v>
                </c:pt>
                <c:pt idx="21">
                  <c:v>93</c:v>
                </c:pt>
                <c:pt idx="22">
                  <c:v>100</c:v>
                </c:pt>
                <c:pt idx="23">
                  <c:v>102</c:v>
                </c:pt>
                <c:pt idx="24">
                  <c:v>106</c:v>
                </c:pt>
                <c:pt idx="25">
                  <c:v>107</c:v>
                </c:pt>
                <c:pt idx="26">
                  <c:v>112</c:v>
                </c:pt>
                <c:pt idx="27">
                  <c:v>120</c:v>
                </c:pt>
                <c:pt idx="28">
                  <c:v>121</c:v>
                </c:pt>
                <c:pt idx="29">
                  <c:v>122</c:v>
                </c:pt>
                <c:pt idx="30">
                  <c:v>124</c:v>
                </c:pt>
                <c:pt idx="31">
                  <c:v>126</c:v>
                </c:pt>
                <c:pt idx="32">
                  <c:v>127</c:v>
                </c:pt>
                <c:pt idx="33">
                  <c:v>138</c:v>
                </c:pt>
                <c:pt idx="34">
                  <c:v>146</c:v>
                </c:pt>
                <c:pt idx="35">
                  <c:v>155</c:v>
                </c:pt>
                <c:pt idx="36">
                  <c:v>161</c:v>
                </c:pt>
                <c:pt idx="37">
                  <c:v>175</c:v>
                </c:pt>
                <c:pt idx="38">
                  <c:v>182</c:v>
                </c:pt>
                <c:pt idx="39">
                  <c:v>184</c:v>
                </c:pt>
                <c:pt idx="40">
                  <c:v>198</c:v>
                </c:pt>
                <c:pt idx="41">
                  <c:v>200</c:v>
                </c:pt>
                <c:pt idx="42">
                  <c:v>203</c:v>
                </c:pt>
                <c:pt idx="43">
                  <c:v>213</c:v>
                </c:pt>
                <c:pt idx="44">
                  <c:v>215</c:v>
                </c:pt>
                <c:pt idx="45">
                  <c:v>221</c:v>
                </c:pt>
                <c:pt idx="46">
                  <c:v>226</c:v>
                </c:pt>
                <c:pt idx="47">
                  <c:v>228</c:v>
                </c:pt>
                <c:pt idx="48">
                  <c:v>232</c:v>
                </c:pt>
                <c:pt idx="49">
                  <c:v>249</c:v>
                </c:pt>
                <c:pt idx="50">
                  <c:v>251</c:v>
                </c:pt>
                <c:pt idx="51">
                  <c:v>257</c:v>
                </c:pt>
                <c:pt idx="52">
                  <c:v>270</c:v>
                </c:pt>
                <c:pt idx="53">
                  <c:v>274</c:v>
                </c:pt>
                <c:pt idx="54">
                  <c:v>284</c:v>
                </c:pt>
                <c:pt idx="55">
                  <c:v>291</c:v>
                </c:pt>
                <c:pt idx="56">
                  <c:v>301</c:v>
                </c:pt>
                <c:pt idx="57">
                  <c:v>342</c:v>
                </c:pt>
                <c:pt idx="58">
                  <c:v>372</c:v>
                </c:pt>
                <c:pt idx="59" formatCode="0">
                  <c:v>400</c:v>
                </c:pt>
              </c:numCache>
            </c:numRef>
          </c:xVal>
          <c:yVal>
            <c:numRef>
              <c:f>'Amp Funnel'!$C$2:$C$61</c:f>
              <c:numCache>
                <c:formatCode>0.0%</c:formatCode>
                <c:ptCount val="60"/>
                <c:pt idx="0">
                  <c:v>0.6</c:v>
                </c:pt>
                <c:pt idx="1">
                  <c:v>0.3</c:v>
                </c:pt>
                <c:pt idx="2">
                  <c:v>0.3</c:v>
                </c:pt>
                <c:pt idx="3">
                  <c:v>0.3</c:v>
                </c:pt>
                <c:pt idx="4">
                  <c:v>0.3</c:v>
                </c:pt>
                <c:pt idx="5">
                  <c:v>0.26500000000000001</c:v>
                </c:pt>
                <c:pt idx="6">
                  <c:v>0.26</c:v>
                </c:pt>
                <c:pt idx="7">
                  <c:v>0.24199999999999999</c:v>
                </c:pt>
                <c:pt idx="8">
                  <c:v>0.23899999999999999</c:v>
                </c:pt>
                <c:pt idx="9">
                  <c:v>0.23199999999999998</c:v>
                </c:pt>
                <c:pt idx="10">
                  <c:v>0.193</c:v>
                </c:pt>
                <c:pt idx="11">
                  <c:v>0.18600000000000003</c:v>
                </c:pt>
                <c:pt idx="12">
                  <c:v>0.184</c:v>
                </c:pt>
                <c:pt idx="13">
                  <c:v>0.182</c:v>
                </c:pt>
                <c:pt idx="14">
                  <c:v>0.17800000000000002</c:v>
                </c:pt>
                <c:pt idx="15">
                  <c:v>0.17399999999999999</c:v>
                </c:pt>
                <c:pt idx="16">
                  <c:v>0.17</c:v>
                </c:pt>
                <c:pt idx="17">
                  <c:v>0.16800000000000001</c:v>
                </c:pt>
                <c:pt idx="18">
                  <c:v>0.16699999999999998</c:v>
                </c:pt>
                <c:pt idx="19">
                  <c:v>0.16399999999999998</c:v>
                </c:pt>
                <c:pt idx="20">
                  <c:v>0.16300000000000001</c:v>
                </c:pt>
                <c:pt idx="21">
                  <c:v>0.16200000000000001</c:v>
                </c:pt>
                <c:pt idx="22">
                  <c:v>0.158</c:v>
                </c:pt>
                <c:pt idx="23">
                  <c:v>0.157</c:v>
                </c:pt>
                <c:pt idx="24">
                  <c:v>0.156</c:v>
                </c:pt>
                <c:pt idx="25">
                  <c:v>0.155</c:v>
                </c:pt>
                <c:pt idx="26">
                  <c:v>0.152</c:v>
                </c:pt>
                <c:pt idx="27">
                  <c:v>0.14899999999999999</c:v>
                </c:pt>
                <c:pt idx="28">
                  <c:v>0.14800000000000002</c:v>
                </c:pt>
                <c:pt idx="29">
                  <c:v>0.14800000000000002</c:v>
                </c:pt>
                <c:pt idx="30">
                  <c:v>0.14800000000000002</c:v>
                </c:pt>
                <c:pt idx="31">
                  <c:v>0.14699999999999999</c:v>
                </c:pt>
                <c:pt idx="32">
                  <c:v>0.14699999999999999</c:v>
                </c:pt>
                <c:pt idx="33">
                  <c:v>0.14300000000000002</c:v>
                </c:pt>
                <c:pt idx="34">
                  <c:v>0.14000000000000001</c:v>
                </c:pt>
                <c:pt idx="35">
                  <c:v>0.13800000000000001</c:v>
                </c:pt>
                <c:pt idx="36">
                  <c:v>0.13600000000000001</c:v>
                </c:pt>
                <c:pt idx="37">
                  <c:v>0.13300000000000001</c:v>
                </c:pt>
                <c:pt idx="38">
                  <c:v>0.13100000000000001</c:v>
                </c:pt>
                <c:pt idx="39">
                  <c:v>0.13100000000000001</c:v>
                </c:pt>
                <c:pt idx="40">
                  <c:v>0.128</c:v>
                </c:pt>
                <c:pt idx="41">
                  <c:v>0.128</c:v>
                </c:pt>
                <c:pt idx="42">
                  <c:v>0.127</c:v>
                </c:pt>
                <c:pt idx="43">
                  <c:v>0.126</c:v>
                </c:pt>
                <c:pt idx="44">
                  <c:v>0.125</c:v>
                </c:pt>
                <c:pt idx="45">
                  <c:v>0.125</c:v>
                </c:pt>
                <c:pt idx="46">
                  <c:v>0.124</c:v>
                </c:pt>
                <c:pt idx="47">
                  <c:v>0.12300000000000001</c:v>
                </c:pt>
                <c:pt idx="48">
                  <c:v>0.12300000000000001</c:v>
                </c:pt>
                <c:pt idx="49">
                  <c:v>0.12</c:v>
                </c:pt>
                <c:pt idx="50">
                  <c:v>0.12</c:v>
                </c:pt>
                <c:pt idx="51">
                  <c:v>0.12</c:v>
                </c:pt>
                <c:pt idx="52">
                  <c:v>0.11800000000000001</c:v>
                </c:pt>
                <c:pt idx="53">
                  <c:v>0.11800000000000001</c:v>
                </c:pt>
                <c:pt idx="54">
                  <c:v>0.11699999999999999</c:v>
                </c:pt>
                <c:pt idx="55">
                  <c:v>0.11599999999999999</c:v>
                </c:pt>
                <c:pt idx="56">
                  <c:v>0.115</c:v>
                </c:pt>
                <c:pt idx="57">
                  <c:v>0.11199999999999999</c:v>
                </c:pt>
                <c:pt idx="58">
                  <c:v>0.11</c:v>
                </c:pt>
                <c:pt idx="59">
                  <c:v>0.108</c:v>
                </c:pt>
              </c:numCache>
            </c:numRef>
          </c:yVal>
          <c:smooth val="0"/>
          <c:extLst>
            <c:ext xmlns:c16="http://schemas.microsoft.com/office/drawing/2014/chart" uri="{C3380CC4-5D6E-409C-BE32-E72D297353CC}">
              <c16:uniqueId val="{00000002-2112-4B75-AF85-49F97078E3D4}"/>
            </c:ext>
          </c:extLst>
        </c:ser>
        <c:ser>
          <c:idx val="3"/>
          <c:order val="3"/>
          <c:tx>
            <c:strRef>
              <c:f>'Amputation Summary'!$B$1</c:f>
              <c:strCache>
                <c:ptCount val="1"/>
                <c:pt idx="0">
                  <c:v>Barking, Havering and Redbridge University Hospitals NHS Trust</c:v>
                </c:pt>
              </c:strCache>
            </c:strRef>
          </c:tx>
          <c:spPr>
            <a:ln w="25400" cap="rnd">
              <a:noFill/>
              <a:round/>
            </a:ln>
            <a:effectLst/>
          </c:spPr>
          <c:marker>
            <c:symbol val="circle"/>
            <c:size val="5"/>
            <c:spPr>
              <a:solidFill>
                <a:srgbClr val="FF0000"/>
              </a:solidFill>
              <a:ln w="12700">
                <a:solidFill>
                  <a:srgbClr val="FF0000"/>
                </a:solidFill>
              </a:ln>
              <a:effectLst/>
            </c:spPr>
          </c:marker>
          <c:dPt>
            <c:idx val="0"/>
            <c:marker>
              <c:symbol val="circle"/>
              <c:size val="5"/>
              <c:spPr>
                <a:solidFill>
                  <a:srgbClr val="FF0000"/>
                </a:solidFill>
                <a:ln w="12700">
                  <a:solidFill>
                    <a:srgbClr val="FF0000"/>
                  </a:solidFill>
                </a:ln>
                <a:effectLst/>
              </c:spPr>
            </c:marker>
            <c:bubble3D val="0"/>
            <c:extLst>
              <c:ext xmlns:c16="http://schemas.microsoft.com/office/drawing/2014/chart" uri="{C3380CC4-5D6E-409C-BE32-E72D297353CC}">
                <c16:uniqueId val="{00000002-A08D-48B7-B7A4-FDB4EBEF9E33}"/>
              </c:ext>
            </c:extLst>
          </c:dPt>
          <c:xVal>
            <c:numRef>
              <c:f>'Amputation Summary'!$AA$9</c:f>
              <c:numCache>
                <c:formatCode>General</c:formatCode>
                <c:ptCount val="1"/>
                <c:pt idx="0">
                  <c:v>78</c:v>
                </c:pt>
              </c:numCache>
            </c:numRef>
          </c:xVal>
          <c:yVal>
            <c:numRef>
              <c:f>'Amputation Summary'!$J$29</c:f>
              <c:numCache>
                <c:formatCode>0.0%</c:formatCode>
                <c:ptCount val="1"/>
                <c:pt idx="0">
                  <c:v>0.108</c:v>
                </c:pt>
              </c:numCache>
            </c:numRef>
          </c:yVal>
          <c:smooth val="0"/>
          <c:extLst>
            <c:ext xmlns:c16="http://schemas.microsoft.com/office/drawing/2014/chart" uri="{C3380CC4-5D6E-409C-BE32-E72D297353CC}">
              <c16:uniqueId val="{00000003-2112-4B75-AF85-49F97078E3D4}"/>
            </c:ext>
          </c:extLst>
        </c:ser>
        <c:ser>
          <c:idx val="4"/>
          <c:order val="4"/>
          <c:tx>
            <c:v>Lower 99.8 Funnel Limit</c:v>
          </c:tx>
          <c:spPr>
            <a:ln w="19050" cap="rnd">
              <a:solidFill>
                <a:srgbClr val="0070C0"/>
              </a:solidFill>
              <a:prstDash val="dash"/>
              <a:round/>
            </a:ln>
            <a:effectLst/>
          </c:spPr>
          <c:marker>
            <c:symbol val="circle"/>
            <c:size val="5"/>
            <c:spPr>
              <a:noFill/>
              <a:ln w="19050">
                <a:noFill/>
                <a:prstDash val="dash"/>
              </a:ln>
              <a:effectLst/>
            </c:spPr>
          </c:marker>
          <c:xVal>
            <c:numRef>
              <c:f>'Amp Funnel'!$B$2:$B$61</c:f>
              <c:numCache>
                <c:formatCode>General</c:formatCode>
                <c:ptCount val="60"/>
                <c:pt idx="0" formatCode="0">
                  <c:v>0</c:v>
                </c:pt>
                <c:pt idx="1">
                  <c:v>6</c:v>
                </c:pt>
                <c:pt idx="2">
                  <c:v>15</c:v>
                </c:pt>
                <c:pt idx="3">
                  <c:v>17</c:v>
                </c:pt>
                <c:pt idx="4">
                  <c:v>20</c:v>
                </c:pt>
                <c:pt idx="5">
                  <c:v>29</c:v>
                </c:pt>
                <c:pt idx="6">
                  <c:v>30</c:v>
                </c:pt>
                <c:pt idx="7">
                  <c:v>35</c:v>
                </c:pt>
                <c:pt idx="8">
                  <c:v>36</c:v>
                </c:pt>
                <c:pt idx="9">
                  <c:v>38</c:v>
                </c:pt>
                <c:pt idx="10">
                  <c:v>59</c:v>
                </c:pt>
                <c:pt idx="11">
                  <c:v>64</c:v>
                </c:pt>
                <c:pt idx="12">
                  <c:v>66</c:v>
                </c:pt>
                <c:pt idx="13">
                  <c:v>69</c:v>
                </c:pt>
                <c:pt idx="14">
                  <c:v>72</c:v>
                </c:pt>
                <c:pt idx="15">
                  <c:v>78</c:v>
                </c:pt>
                <c:pt idx="16">
                  <c:v>82</c:v>
                </c:pt>
                <c:pt idx="17">
                  <c:v>85</c:v>
                </c:pt>
                <c:pt idx="18">
                  <c:v>86</c:v>
                </c:pt>
                <c:pt idx="19">
                  <c:v>90</c:v>
                </c:pt>
                <c:pt idx="20">
                  <c:v>92</c:v>
                </c:pt>
                <c:pt idx="21">
                  <c:v>93</c:v>
                </c:pt>
                <c:pt idx="22">
                  <c:v>100</c:v>
                </c:pt>
                <c:pt idx="23">
                  <c:v>102</c:v>
                </c:pt>
                <c:pt idx="24">
                  <c:v>106</c:v>
                </c:pt>
                <c:pt idx="25">
                  <c:v>107</c:v>
                </c:pt>
                <c:pt idx="26">
                  <c:v>112</c:v>
                </c:pt>
                <c:pt idx="27">
                  <c:v>120</c:v>
                </c:pt>
                <c:pt idx="28">
                  <c:v>121</c:v>
                </c:pt>
                <c:pt idx="29">
                  <c:v>122</c:v>
                </c:pt>
                <c:pt idx="30">
                  <c:v>124</c:v>
                </c:pt>
                <c:pt idx="31">
                  <c:v>126</c:v>
                </c:pt>
                <c:pt idx="32">
                  <c:v>127</c:v>
                </c:pt>
                <c:pt idx="33">
                  <c:v>138</c:v>
                </c:pt>
                <c:pt idx="34">
                  <c:v>146</c:v>
                </c:pt>
                <c:pt idx="35">
                  <c:v>155</c:v>
                </c:pt>
                <c:pt idx="36">
                  <c:v>161</c:v>
                </c:pt>
                <c:pt idx="37">
                  <c:v>175</c:v>
                </c:pt>
                <c:pt idx="38">
                  <c:v>182</c:v>
                </c:pt>
                <c:pt idx="39">
                  <c:v>184</c:v>
                </c:pt>
                <c:pt idx="40">
                  <c:v>198</c:v>
                </c:pt>
                <c:pt idx="41">
                  <c:v>200</c:v>
                </c:pt>
                <c:pt idx="42">
                  <c:v>203</c:v>
                </c:pt>
                <c:pt idx="43">
                  <c:v>213</c:v>
                </c:pt>
                <c:pt idx="44">
                  <c:v>215</c:v>
                </c:pt>
                <c:pt idx="45">
                  <c:v>221</c:v>
                </c:pt>
                <c:pt idx="46">
                  <c:v>226</c:v>
                </c:pt>
                <c:pt idx="47">
                  <c:v>228</c:v>
                </c:pt>
                <c:pt idx="48">
                  <c:v>232</c:v>
                </c:pt>
                <c:pt idx="49">
                  <c:v>249</c:v>
                </c:pt>
                <c:pt idx="50">
                  <c:v>251</c:v>
                </c:pt>
                <c:pt idx="51">
                  <c:v>257</c:v>
                </c:pt>
                <c:pt idx="52">
                  <c:v>270</c:v>
                </c:pt>
                <c:pt idx="53">
                  <c:v>274</c:v>
                </c:pt>
                <c:pt idx="54">
                  <c:v>284</c:v>
                </c:pt>
                <c:pt idx="55">
                  <c:v>291</c:v>
                </c:pt>
                <c:pt idx="56">
                  <c:v>301</c:v>
                </c:pt>
                <c:pt idx="57">
                  <c:v>342</c:v>
                </c:pt>
                <c:pt idx="58">
                  <c:v>372</c:v>
                </c:pt>
                <c:pt idx="59" formatCode="0">
                  <c:v>400</c:v>
                </c:pt>
              </c:numCache>
            </c:numRef>
          </c:xVal>
          <c:yVal>
            <c:numRef>
              <c:f>'Amp Funnel'!$E$2:$E$61</c:f>
              <c:numCache>
                <c:formatCode>0.0%</c:formatCode>
                <c:ptCount val="60"/>
                <c:pt idx="26">
                  <c:v>1E-3</c:v>
                </c:pt>
                <c:pt idx="27">
                  <c:v>2E-3</c:v>
                </c:pt>
                <c:pt idx="28">
                  <c:v>3.0000000000000001E-3</c:v>
                </c:pt>
                <c:pt idx="29">
                  <c:v>3.0000000000000001E-3</c:v>
                </c:pt>
                <c:pt idx="30">
                  <c:v>3.0000000000000001E-3</c:v>
                </c:pt>
                <c:pt idx="31">
                  <c:v>4.0000000000000001E-3</c:v>
                </c:pt>
                <c:pt idx="32">
                  <c:v>4.0000000000000001E-3</c:v>
                </c:pt>
                <c:pt idx="33">
                  <c:v>6.9999999999999993E-3</c:v>
                </c:pt>
                <c:pt idx="34">
                  <c:v>8.0000000000000002E-3</c:v>
                </c:pt>
                <c:pt idx="35">
                  <c:v>9.0000000000000011E-3</c:v>
                </c:pt>
                <c:pt idx="36">
                  <c:v>0.01</c:v>
                </c:pt>
                <c:pt idx="37">
                  <c:v>1.2E-2</c:v>
                </c:pt>
                <c:pt idx="38">
                  <c:v>1.3000000000000001E-2</c:v>
                </c:pt>
                <c:pt idx="39">
                  <c:v>1.3000000000000001E-2</c:v>
                </c:pt>
                <c:pt idx="40">
                  <c:v>1.6E-2</c:v>
                </c:pt>
                <c:pt idx="41">
                  <c:v>1.6E-2</c:v>
                </c:pt>
                <c:pt idx="42">
                  <c:v>1.6E-2</c:v>
                </c:pt>
                <c:pt idx="43">
                  <c:v>1.7000000000000001E-2</c:v>
                </c:pt>
                <c:pt idx="44">
                  <c:v>1.7000000000000001E-2</c:v>
                </c:pt>
                <c:pt idx="45">
                  <c:v>1.8000000000000002E-2</c:v>
                </c:pt>
                <c:pt idx="46">
                  <c:v>1.8000000000000002E-2</c:v>
                </c:pt>
                <c:pt idx="47">
                  <c:v>1.8000000000000002E-2</c:v>
                </c:pt>
                <c:pt idx="48">
                  <c:v>1.9E-2</c:v>
                </c:pt>
                <c:pt idx="49">
                  <c:v>0.02</c:v>
                </c:pt>
                <c:pt idx="50">
                  <c:v>0.02</c:v>
                </c:pt>
                <c:pt idx="51">
                  <c:v>2.1000000000000001E-2</c:v>
                </c:pt>
                <c:pt idx="52">
                  <c:v>2.2000000000000002E-2</c:v>
                </c:pt>
                <c:pt idx="53">
                  <c:v>2.2000000000000002E-2</c:v>
                </c:pt>
                <c:pt idx="54">
                  <c:v>2.3E-2</c:v>
                </c:pt>
                <c:pt idx="55">
                  <c:v>2.4E-2</c:v>
                </c:pt>
                <c:pt idx="56">
                  <c:v>2.4E-2</c:v>
                </c:pt>
                <c:pt idx="57">
                  <c:v>2.7000000000000003E-2</c:v>
                </c:pt>
                <c:pt idx="58">
                  <c:v>2.7999999999999997E-2</c:v>
                </c:pt>
                <c:pt idx="59">
                  <c:v>2.9000000000000001E-2</c:v>
                </c:pt>
              </c:numCache>
            </c:numRef>
          </c:yVal>
          <c:smooth val="0"/>
          <c:extLst>
            <c:ext xmlns:c16="http://schemas.microsoft.com/office/drawing/2014/chart" uri="{C3380CC4-5D6E-409C-BE32-E72D297353CC}">
              <c16:uniqueId val="{00000002-679B-43B5-98F2-CC766CE09FC7}"/>
            </c:ext>
          </c:extLst>
        </c:ser>
        <c:ser>
          <c:idx val="5"/>
          <c:order val="5"/>
          <c:tx>
            <c:v>Upper 95 Funnel Limit</c:v>
          </c:tx>
          <c:spPr>
            <a:ln w="15875" cap="rnd">
              <a:solidFill>
                <a:schemeClr val="accent2">
                  <a:lumMod val="40000"/>
                  <a:lumOff val="60000"/>
                </a:schemeClr>
              </a:solidFill>
              <a:prstDash val="dash"/>
              <a:round/>
            </a:ln>
            <a:effectLst/>
          </c:spPr>
          <c:marker>
            <c:symbol val="none"/>
          </c:marker>
          <c:xVal>
            <c:numRef>
              <c:f>'Amp Funnel'!$B$2:$B$61</c:f>
              <c:numCache>
                <c:formatCode>General</c:formatCode>
                <c:ptCount val="60"/>
                <c:pt idx="0" formatCode="0">
                  <c:v>0</c:v>
                </c:pt>
                <c:pt idx="1">
                  <c:v>6</c:v>
                </c:pt>
                <c:pt idx="2">
                  <c:v>15</c:v>
                </c:pt>
                <c:pt idx="3">
                  <c:v>17</c:v>
                </c:pt>
                <c:pt idx="4">
                  <c:v>20</c:v>
                </c:pt>
                <c:pt idx="5">
                  <c:v>29</c:v>
                </c:pt>
                <c:pt idx="6">
                  <c:v>30</c:v>
                </c:pt>
                <c:pt idx="7">
                  <c:v>35</c:v>
                </c:pt>
                <c:pt idx="8">
                  <c:v>36</c:v>
                </c:pt>
                <c:pt idx="9">
                  <c:v>38</c:v>
                </c:pt>
                <c:pt idx="10">
                  <c:v>59</c:v>
                </c:pt>
                <c:pt idx="11">
                  <c:v>64</c:v>
                </c:pt>
                <c:pt idx="12">
                  <c:v>66</c:v>
                </c:pt>
                <c:pt idx="13">
                  <c:v>69</c:v>
                </c:pt>
                <c:pt idx="14">
                  <c:v>72</c:v>
                </c:pt>
                <c:pt idx="15">
                  <c:v>78</c:v>
                </c:pt>
                <c:pt idx="16">
                  <c:v>82</c:v>
                </c:pt>
                <c:pt idx="17">
                  <c:v>85</c:v>
                </c:pt>
                <c:pt idx="18">
                  <c:v>86</c:v>
                </c:pt>
                <c:pt idx="19">
                  <c:v>90</c:v>
                </c:pt>
                <c:pt idx="20">
                  <c:v>92</c:v>
                </c:pt>
                <c:pt idx="21">
                  <c:v>93</c:v>
                </c:pt>
                <c:pt idx="22">
                  <c:v>100</c:v>
                </c:pt>
                <c:pt idx="23">
                  <c:v>102</c:v>
                </c:pt>
                <c:pt idx="24">
                  <c:v>106</c:v>
                </c:pt>
                <c:pt idx="25">
                  <c:v>107</c:v>
                </c:pt>
                <c:pt idx="26">
                  <c:v>112</c:v>
                </c:pt>
                <c:pt idx="27">
                  <c:v>120</c:v>
                </c:pt>
                <c:pt idx="28">
                  <c:v>121</c:v>
                </c:pt>
                <c:pt idx="29">
                  <c:v>122</c:v>
                </c:pt>
                <c:pt idx="30">
                  <c:v>124</c:v>
                </c:pt>
                <c:pt idx="31">
                  <c:v>126</c:v>
                </c:pt>
                <c:pt idx="32">
                  <c:v>127</c:v>
                </c:pt>
                <c:pt idx="33">
                  <c:v>138</c:v>
                </c:pt>
                <c:pt idx="34">
                  <c:v>146</c:v>
                </c:pt>
                <c:pt idx="35">
                  <c:v>155</c:v>
                </c:pt>
                <c:pt idx="36">
                  <c:v>161</c:v>
                </c:pt>
                <c:pt idx="37">
                  <c:v>175</c:v>
                </c:pt>
                <c:pt idx="38">
                  <c:v>182</c:v>
                </c:pt>
                <c:pt idx="39">
                  <c:v>184</c:v>
                </c:pt>
                <c:pt idx="40">
                  <c:v>198</c:v>
                </c:pt>
                <c:pt idx="41">
                  <c:v>200</c:v>
                </c:pt>
                <c:pt idx="42">
                  <c:v>203</c:v>
                </c:pt>
                <c:pt idx="43">
                  <c:v>213</c:v>
                </c:pt>
                <c:pt idx="44">
                  <c:v>215</c:v>
                </c:pt>
                <c:pt idx="45">
                  <c:v>221</c:v>
                </c:pt>
                <c:pt idx="46">
                  <c:v>226</c:v>
                </c:pt>
                <c:pt idx="47">
                  <c:v>228</c:v>
                </c:pt>
                <c:pt idx="48">
                  <c:v>232</c:v>
                </c:pt>
                <c:pt idx="49">
                  <c:v>249</c:v>
                </c:pt>
                <c:pt idx="50">
                  <c:v>251</c:v>
                </c:pt>
                <c:pt idx="51">
                  <c:v>257</c:v>
                </c:pt>
                <c:pt idx="52">
                  <c:v>270</c:v>
                </c:pt>
                <c:pt idx="53">
                  <c:v>274</c:v>
                </c:pt>
                <c:pt idx="54">
                  <c:v>284</c:v>
                </c:pt>
                <c:pt idx="55">
                  <c:v>291</c:v>
                </c:pt>
                <c:pt idx="56">
                  <c:v>301</c:v>
                </c:pt>
                <c:pt idx="57">
                  <c:v>342</c:v>
                </c:pt>
                <c:pt idx="58">
                  <c:v>372</c:v>
                </c:pt>
                <c:pt idx="59" formatCode="0">
                  <c:v>400</c:v>
                </c:pt>
              </c:numCache>
            </c:numRef>
          </c:xVal>
          <c:yVal>
            <c:numRef>
              <c:f>'Amp Funnel'!$G$2:$G$61</c:f>
              <c:numCache>
                <c:formatCode>0.0%</c:formatCode>
                <c:ptCount val="60"/>
                <c:pt idx="0">
                  <c:v>0.3</c:v>
                </c:pt>
                <c:pt idx="1">
                  <c:v>0.3</c:v>
                </c:pt>
                <c:pt idx="2">
                  <c:v>0.254</c:v>
                </c:pt>
                <c:pt idx="3">
                  <c:v>0.23300000000000001</c:v>
                </c:pt>
                <c:pt idx="4">
                  <c:v>0.222</c:v>
                </c:pt>
                <c:pt idx="5">
                  <c:v>0.18899999999999997</c:v>
                </c:pt>
                <c:pt idx="6">
                  <c:v>0.18600000000000003</c:v>
                </c:pt>
                <c:pt idx="7">
                  <c:v>0.17100000000000001</c:v>
                </c:pt>
                <c:pt idx="8">
                  <c:v>0.17100000000000001</c:v>
                </c:pt>
                <c:pt idx="9">
                  <c:v>0.16899999999999998</c:v>
                </c:pt>
                <c:pt idx="10">
                  <c:v>0.14499999999999999</c:v>
                </c:pt>
                <c:pt idx="11">
                  <c:v>0.14000000000000001</c:v>
                </c:pt>
                <c:pt idx="12">
                  <c:v>0.13900000000000001</c:v>
                </c:pt>
                <c:pt idx="13">
                  <c:v>0.13800000000000001</c:v>
                </c:pt>
                <c:pt idx="14">
                  <c:v>0.13600000000000001</c:v>
                </c:pt>
                <c:pt idx="15">
                  <c:v>0.13200000000000001</c:v>
                </c:pt>
                <c:pt idx="16">
                  <c:v>0.13</c:v>
                </c:pt>
                <c:pt idx="17">
                  <c:v>0.128</c:v>
                </c:pt>
                <c:pt idx="18">
                  <c:v>0.128</c:v>
                </c:pt>
                <c:pt idx="19">
                  <c:v>0.127</c:v>
                </c:pt>
                <c:pt idx="20">
                  <c:v>0.126</c:v>
                </c:pt>
                <c:pt idx="21">
                  <c:v>0.126</c:v>
                </c:pt>
                <c:pt idx="22">
                  <c:v>0.12300000000000001</c:v>
                </c:pt>
                <c:pt idx="23">
                  <c:v>0.12300000000000001</c:v>
                </c:pt>
                <c:pt idx="24">
                  <c:v>0.121</c:v>
                </c:pt>
                <c:pt idx="25">
                  <c:v>0.121</c:v>
                </c:pt>
                <c:pt idx="26">
                  <c:v>0.12</c:v>
                </c:pt>
                <c:pt idx="27">
                  <c:v>0.11699999999999999</c:v>
                </c:pt>
                <c:pt idx="28">
                  <c:v>0.11699999999999999</c:v>
                </c:pt>
                <c:pt idx="29">
                  <c:v>0.11699999999999999</c:v>
                </c:pt>
                <c:pt idx="30">
                  <c:v>0.11699999999999999</c:v>
                </c:pt>
                <c:pt idx="31">
                  <c:v>0.11599999999999999</c:v>
                </c:pt>
                <c:pt idx="32">
                  <c:v>0.11599999999999999</c:v>
                </c:pt>
                <c:pt idx="33">
                  <c:v>0.114</c:v>
                </c:pt>
                <c:pt idx="34">
                  <c:v>0.11199999999999999</c:v>
                </c:pt>
                <c:pt idx="35">
                  <c:v>0.11</c:v>
                </c:pt>
                <c:pt idx="36">
                  <c:v>0.109</c:v>
                </c:pt>
                <c:pt idx="37">
                  <c:v>0.107</c:v>
                </c:pt>
                <c:pt idx="38">
                  <c:v>0.107</c:v>
                </c:pt>
                <c:pt idx="39">
                  <c:v>0.106</c:v>
                </c:pt>
                <c:pt idx="40">
                  <c:v>0.105</c:v>
                </c:pt>
                <c:pt idx="41">
                  <c:v>0.10400000000000001</c:v>
                </c:pt>
                <c:pt idx="42">
                  <c:v>0.10400000000000001</c:v>
                </c:pt>
                <c:pt idx="43">
                  <c:v>0.10300000000000001</c:v>
                </c:pt>
                <c:pt idx="44">
                  <c:v>0.10300000000000001</c:v>
                </c:pt>
                <c:pt idx="45">
                  <c:v>0.10199999999999999</c:v>
                </c:pt>
                <c:pt idx="46">
                  <c:v>0.10199999999999999</c:v>
                </c:pt>
                <c:pt idx="47">
                  <c:v>0.10199999999999999</c:v>
                </c:pt>
                <c:pt idx="48">
                  <c:v>0.10099999999999999</c:v>
                </c:pt>
                <c:pt idx="49">
                  <c:v>0.1</c:v>
                </c:pt>
                <c:pt idx="50">
                  <c:v>0.1</c:v>
                </c:pt>
                <c:pt idx="51">
                  <c:v>9.9000000000000005E-2</c:v>
                </c:pt>
                <c:pt idx="52">
                  <c:v>9.8000000000000004E-2</c:v>
                </c:pt>
                <c:pt idx="53">
                  <c:v>9.8000000000000004E-2</c:v>
                </c:pt>
                <c:pt idx="54">
                  <c:v>9.6999999999999989E-2</c:v>
                </c:pt>
                <c:pt idx="55">
                  <c:v>9.6999999999999989E-2</c:v>
                </c:pt>
                <c:pt idx="56">
                  <c:v>9.6000000000000002E-2</c:v>
                </c:pt>
                <c:pt idx="57">
                  <c:v>9.4E-2</c:v>
                </c:pt>
                <c:pt idx="58">
                  <c:v>9.3000000000000013E-2</c:v>
                </c:pt>
                <c:pt idx="59">
                  <c:v>9.1999999999999998E-2</c:v>
                </c:pt>
              </c:numCache>
            </c:numRef>
          </c:yVal>
          <c:smooth val="0"/>
          <c:extLst>
            <c:ext xmlns:c16="http://schemas.microsoft.com/office/drawing/2014/chart" uri="{C3380CC4-5D6E-409C-BE32-E72D297353CC}">
              <c16:uniqueId val="{00000001-2006-4D70-B849-DED368F08F02}"/>
            </c:ext>
          </c:extLst>
        </c:ser>
        <c:ser>
          <c:idx val="6"/>
          <c:order val="6"/>
          <c:tx>
            <c:v>Lower 95 Funnel Limit</c:v>
          </c:tx>
          <c:spPr>
            <a:ln w="15875" cap="rnd">
              <a:solidFill>
                <a:schemeClr val="accent2">
                  <a:lumMod val="40000"/>
                  <a:lumOff val="60000"/>
                </a:schemeClr>
              </a:solidFill>
              <a:prstDash val="sysDash"/>
              <a:round/>
            </a:ln>
            <a:effectLst/>
          </c:spPr>
          <c:marker>
            <c:symbol val="none"/>
          </c:marker>
          <c:xVal>
            <c:numRef>
              <c:f>'Amp Funnel'!$B$2:$B$61</c:f>
              <c:numCache>
                <c:formatCode>General</c:formatCode>
                <c:ptCount val="60"/>
                <c:pt idx="0" formatCode="0">
                  <c:v>0</c:v>
                </c:pt>
                <c:pt idx="1">
                  <c:v>6</c:v>
                </c:pt>
                <c:pt idx="2">
                  <c:v>15</c:v>
                </c:pt>
                <c:pt idx="3">
                  <c:v>17</c:v>
                </c:pt>
                <c:pt idx="4">
                  <c:v>20</c:v>
                </c:pt>
                <c:pt idx="5">
                  <c:v>29</c:v>
                </c:pt>
                <c:pt idx="6">
                  <c:v>30</c:v>
                </c:pt>
                <c:pt idx="7">
                  <c:v>35</c:v>
                </c:pt>
                <c:pt idx="8">
                  <c:v>36</c:v>
                </c:pt>
                <c:pt idx="9">
                  <c:v>38</c:v>
                </c:pt>
                <c:pt idx="10">
                  <c:v>59</c:v>
                </c:pt>
                <c:pt idx="11">
                  <c:v>64</c:v>
                </c:pt>
                <c:pt idx="12">
                  <c:v>66</c:v>
                </c:pt>
                <c:pt idx="13">
                  <c:v>69</c:v>
                </c:pt>
                <c:pt idx="14">
                  <c:v>72</c:v>
                </c:pt>
                <c:pt idx="15">
                  <c:v>78</c:v>
                </c:pt>
                <c:pt idx="16">
                  <c:v>82</c:v>
                </c:pt>
                <c:pt idx="17">
                  <c:v>85</c:v>
                </c:pt>
                <c:pt idx="18">
                  <c:v>86</c:v>
                </c:pt>
                <c:pt idx="19">
                  <c:v>90</c:v>
                </c:pt>
                <c:pt idx="20">
                  <c:v>92</c:v>
                </c:pt>
                <c:pt idx="21">
                  <c:v>93</c:v>
                </c:pt>
                <c:pt idx="22">
                  <c:v>100</c:v>
                </c:pt>
                <c:pt idx="23">
                  <c:v>102</c:v>
                </c:pt>
                <c:pt idx="24">
                  <c:v>106</c:v>
                </c:pt>
                <c:pt idx="25">
                  <c:v>107</c:v>
                </c:pt>
                <c:pt idx="26">
                  <c:v>112</c:v>
                </c:pt>
                <c:pt idx="27">
                  <c:v>120</c:v>
                </c:pt>
                <c:pt idx="28">
                  <c:v>121</c:v>
                </c:pt>
                <c:pt idx="29">
                  <c:v>122</c:v>
                </c:pt>
                <c:pt idx="30">
                  <c:v>124</c:v>
                </c:pt>
                <c:pt idx="31">
                  <c:v>126</c:v>
                </c:pt>
                <c:pt idx="32">
                  <c:v>127</c:v>
                </c:pt>
                <c:pt idx="33">
                  <c:v>138</c:v>
                </c:pt>
                <c:pt idx="34">
                  <c:v>146</c:v>
                </c:pt>
                <c:pt idx="35">
                  <c:v>155</c:v>
                </c:pt>
                <c:pt idx="36">
                  <c:v>161</c:v>
                </c:pt>
                <c:pt idx="37">
                  <c:v>175</c:v>
                </c:pt>
                <c:pt idx="38">
                  <c:v>182</c:v>
                </c:pt>
                <c:pt idx="39">
                  <c:v>184</c:v>
                </c:pt>
                <c:pt idx="40">
                  <c:v>198</c:v>
                </c:pt>
                <c:pt idx="41">
                  <c:v>200</c:v>
                </c:pt>
                <c:pt idx="42">
                  <c:v>203</c:v>
                </c:pt>
                <c:pt idx="43">
                  <c:v>213</c:v>
                </c:pt>
                <c:pt idx="44">
                  <c:v>215</c:v>
                </c:pt>
                <c:pt idx="45">
                  <c:v>221</c:v>
                </c:pt>
                <c:pt idx="46">
                  <c:v>226</c:v>
                </c:pt>
                <c:pt idx="47">
                  <c:v>228</c:v>
                </c:pt>
                <c:pt idx="48">
                  <c:v>232</c:v>
                </c:pt>
                <c:pt idx="49">
                  <c:v>249</c:v>
                </c:pt>
                <c:pt idx="50">
                  <c:v>251</c:v>
                </c:pt>
                <c:pt idx="51">
                  <c:v>257</c:v>
                </c:pt>
                <c:pt idx="52">
                  <c:v>270</c:v>
                </c:pt>
                <c:pt idx="53">
                  <c:v>274</c:v>
                </c:pt>
                <c:pt idx="54">
                  <c:v>284</c:v>
                </c:pt>
                <c:pt idx="55">
                  <c:v>291</c:v>
                </c:pt>
                <c:pt idx="56">
                  <c:v>301</c:v>
                </c:pt>
                <c:pt idx="57">
                  <c:v>342</c:v>
                </c:pt>
                <c:pt idx="58">
                  <c:v>372</c:v>
                </c:pt>
                <c:pt idx="59" formatCode="0">
                  <c:v>400</c:v>
                </c:pt>
              </c:numCache>
            </c:numRef>
          </c:xVal>
          <c:yVal>
            <c:numRef>
              <c:f>'Amp Funnel'!$F$2:$F$61</c:f>
              <c:numCache>
                <c:formatCode>General</c:formatCode>
                <c:ptCount val="60"/>
                <c:pt idx="10" formatCode="0.0%">
                  <c:v>1E-3</c:v>
                </c:pt>
                <c:pt idx="11" formatCode="0.0%">
                  <c:v>3.0000000000000001E-3</c:v>
                </c:pt>
                <c:pt idx="12" formatCode="0.0%">
                  <c:v>4.0000000000000001E-3</c:v>
                </c:pt>
                <c:pt idx="13" formatCode="0.0%">
                  <c:v>5.0000000000000001E-3</c:v>
                </c:pt>
                <c:pt idx="14" formatCode="0.0%">
                  <c:v>6.0000000000000001E-3</c:v>
                </c:pt>
                <c:pt idx="15" formatCode="0.0%">
                  <c:v>9.0000000000000011E-3</c:v>
                </c:pt>
                <c:pt idx="16" formatCode="0.0%">
                  <c:v>1.2E-2</c:v>
                </c:pt>
                <c:pt idx="17" formatCode="0.0%">
                  <c:v>1.2E-2</c:v>
                </c:pt>
                <c:pt idx="18" formatCode="0.0%">
                  <c:v>1.3000000000000001E-2</c:v>
                </c:pt>
                <c:pt idx="19" formatCode="0.0%">
                  <c:v>1.3000000000000001E-2</c:v>
                </c:pt>
                <c:pt idx="20" formatCode="0.0%">
                  <c:v>1.3999999999999999E-2</c:v>
                </c:pt>
                <c:pt idx="21" formatCode="0.0%">
                  <c:v>1.3999999999999999E-2</c:v>
                </c:pt>
                <c:pt idx="22" formatCode="0.0%">
                  <c:v>1.6E-2</c:v>
                </c:pt>
                <c:pt idx="23" formatCode="0.0%">
                  <c:v>1.6E-2</c:v>
                </c:pt>
                <c:pt idx="24" formatCode="0.0%">
                  <c:v>1.8000000000000002E-2</c:v>
                </c:pt>
                <c:pt idx="25" formatCode="0.0%">
                  <c:v>1.8000000000000002E-2</c:v>
                </c:pt>
                <c:pt idx="26" formatCode="0.0%">
                  <c:v>1.9E-2</c:v>
                </c:pt>
                <c:pt idx="27" formatCode="0.0%">
                  <c:v>0.02</c:v>
                </c:pt>
                <c:pt idx="28" formatCode="0.0%">
                  <c:v>0.02</c:v>
                </c:pt>
                <c:pt idx="29" formatCode="0.0%">
                  <c:v>0.02</c:v>
                </c:pt>
                <c:pt idx="30" formatCode="0.0%">
                  <c:v>2.1000000000000001E-2</c:v>
                </c:pt>
                <c:pt idx="31" formatCode="0.0%">
                  <c:v>2.1000000000000001E-2</c:v>
                </c:pt>
                <c:pt idx="32" formatCode="0.0%">
                  <c:v>2.2000000000000002E-2</c:v>
                </c:pt>
                <c:pt idx="33" formatCode="0.0%">
                  <c:v>2.3E-2</c:v>
                </c:pt>
                <c:pt idx="34" formatCode="0.0%">
                  <c:v>2.5000000000000001E-2</c:v>
                </c:pt>
                <c:pt idx="35" formatCode="0.0%">
                  <c:v>2.6000000000000002E-2</c:v>
                </c:pt>
                <c:pt idx="36" formatCode="0.0%">
                  <c:v>2.7000000000000003E-2</c:v>
                </c:pt>
                <c:pt idx="37" formatCode="0.0%">
                  <c:v>2.8999999999999998E-2</c:v>
                </c:pt>
                <c:pt idx="38" formatCode="0.0%">
                  <c:v>2.8999999999999998E-2</c:v>
                </c:pt>
                <c:pt idx="39" formatCode="0.0%">
                  <c:v>2.8999999999999998E-2</c:v>
                </c:pt>
                <c:pt idx="40" formatCode="0.0%">
                  <c:v>3.1E-2</c:v>
                </c:pt>
                <c:pt idx="41" formatCode="0.0%">
                  <c:v>3.1E-2</c:v>
                </c:pt>
                <c:pt idx="42" formatCode="0.0%">
                  <c:v>3.1E-2</c:v>
                </c:pt>
                <c:pt idx="43" formatCode="0.0%">
                  <c:v>3.2000000000000001E-2</c:v>
                </c:pt>
                <c:pt idx="44" formatCode="0.0%">
                  <c:v>3.2000000000000001E-2</c:v>
                </c:pt>
                <c:pt idx="45" formatCode="0.0%">
                  <c:v>3.2000000000000001E-2</c:v>
                </c:pt>
                <c:pt idx="46" formatCode="0.0%">
                  <c:v>3.3000000000000002E-2</c:v>
                </c:pt>
                <c:pt idx="47" formatCode="0.0%">
                  <c:v>3.3000000000000002E-2</c:v>
                </c:pt>
                <c:pt idx="48" formatCode="0.0%">
                  <c:v>3.3000000000000002E-2</c:v>
                </c:pt>
                <c:pt idx="49" formatCode="0.0%">
                  <c:v>3.4000000000000002E-2</c:v>
                </c:pt>
                <c:pt idx="50" formatCode="0.0%">
                  <c:v>3.4000000000000002E-2</c:v>
                </c:pt>
                <c:pt idx="51" formatCode="0.0%">
                  <c:v>3.5000000000000003E-2</c:v>
                </c:pt>
                <c:pt idx="52" formatCode="0.0%">
                  <c:v>3.6000000000000004E-2</c:v>
                </c:pt>
                <c:pt idx="53" formatCode="0.0%">
                  <c:v>3.6000000000000004E-2</c:v>
                </c:pt>
                <c:pt idx="54" formatCode="0.0%">
                  <c:v>3.6000000000000004E-2</c:v>
                </c:pt>
                <c:pt idx="55" formatCode="0.0%">
                  <c:v>3.7000000000000005E-2</c:v>
                </c:pt>
                <c:pt idx="56" formatCode="0.0%">
                  <c:v>3.7000000000000005E-2</c:v>
                </c:pt>
                <c:pt idx="57" formatCode="0.0%">
                  <c:v>3.9E-2</c:v>
                </c:pt>
                <c:pt idx="58" formatCode="0.0%">
                  <c:v>0.04</c:v>
                </c:pt>
                <c:pt idx="59" formatCode="0.0%">
                  <c:v>4.1000000000000002E-2</c:v>
                </c:pt>
              </c:numCache>
            </c:numRef>
          </c:yVal>
          <c:smooth val="0"/>
          <c:extLst>
            <c:ext xmlns:c16="http://schemas.microsoft.com/office/drawing/2014/chart" uri="{C3380CC4-5D6E-409C-BE32-E72D297353CC}">
              <c16:uniqueId val="{00000003-2006-4D70-B849-DED368F08F02}"/>
            </c:ext>
          </c:extLst>
        </c:ser>
        <c:dLbls>
          <c:showLegendKey val="0"/>
          <c:showVal val="0"/>
          <c:showCatName val="0"/>
          <c:showSerName val="0"/>
          <c:showPercent val="0"/>
          <c:showBubbleSize val="0"/>
        </c:dLbls>
        <c:axId val="578498000"/>
        <c:axId val="578493408"/>
      </c:scatterChart>
      <c:valAx>
        <c:axId val="578498000"/>
        <c:scaling>
          <c:orientation val="minMax"/>
          <c:max val="4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GB"/>
                  <a:t>Number of operations</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78493408"/>
        <c:crosses val="autoZero"/>
        <c:crossBetween val="midCat"/>
        <c:majorUnit val="25"/>
      </c:valAx>
      <c:valAx>
        <c:axId val="578493408"/>
        <c:scaling>
          <c:orientation val="minMax"/>
          <c:max val="0.3000000000000000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GB"/>
                  <a:t>% 30 day in hospital deaths</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78498000"/>
        <c:crosses val="autoZero"/>
        <c:crossBetween val="midCat"/>
        <c:majorUnit val="5.000000000000001E-2"/>
        <c:minorUnit val="5.000000000000001E-3"/>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'Amputation Summary'!$K$32</c:f>
          <c:strCache>
            <c:ptCount val="1"/>
            <c:pt idx="0">
              <c:v>% Consultant Present in Theatre 2022</c:v>
            </c:pt>
          </c:strCache>
        </c:strRef>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endParaRPr lang="en-US"/>
        </a:p>
      </c:txPr>
    </c:title>
    <c:autoTitleDeleted val="0"/>
    <c:plotArea>
      <c:layout/>
      <c:areaChart>
        <c:grouping val="stacked"/>
        <c:varyColors val="0"/>
        <c:ser>
          <c:idx val="0"/>
          <c:order val="0"/>
          <c:tx>
            <c:strRef>
              <c:f>'Amputation Summary'!$K$32</c:f>
              <c:strCache>
                <c:ptCount val="1"/>
                <c:pt idx="0">
                  <c:v>% Consultant Present in Theatre 2022</c:v>
                </c:pt>
              </c:strCache>
            </c:strRef>
          </c:tx>
          <c:spPr>
            <a:solidFill>
              <a:schemeClr val="accent1"/>
            </a:solidFill>
            <a:ln w="25400">
              <a:noFill/>
            </a:ln>
            <a:effectLst/>
          </c:spPr>
          <c:cat>
            <c:numRef>
              <c:f>'Major Lower Limb Amputation'!$X$8:$X$74</c:f>
              <c:numCache>
                <c:formatCode>General</c:formatCode>
                <c:ptCount val="67"/>
                <c:pt idx="0">
                  <c:v>12</c:v>
                </c:pt>
                <c:pt idx="1">
                  <c:v>57</c:v>
                </c:pt>
                <c:pt idx="2">
                  <c:v>32</c:v>
                </c:pt>
                <c:pt idx="3">
                  <c:v>20</c:v>
                </c:pt>
                <c:pt idx="4">
                  <c:v>55</c:v>
                </c:pt>
                <c:pt idx="5">
                  <c:v>46</c:v>
                </c:pt>
                <c:pt idx="6">
                  <c:v>9</c:v>
                </c:pt>
                <c:pt idx="7">
                  <c:v>36</c:v>
                </c:pt>
                <c:pt idx="8">
                  <c:v>23</c:v>
                </c:pt>
                <c:pt idx="9">
                  <c:v>57</c:v>
                </c:pt>
                <c:pt idx="10">
                  <c:v>36</c:v>
                </c:pt>
                <c:pt idx="11">
                  <c:v>52</c:v>
                </c:pt>
                <c:pt idx="12">
                  <c:v>31</c:v>
                </c:pt>
                <c:pt idx="13">
                  <c:v>15</c:v>
                </c:pt>
                <c:pt idx="14">
                  <c:v>57</c:v>
                </c:pt>
                <c:pt idx="15">
                  <c:v>16</c:v>
                </c:pt>
                <c:pt idx="16">
                  <c:v>8</c:v>
                </c:pt>
                <c:pt idx="17">
                  <c:v>36</c:v>
                </c:pt>
                <c:pt idx="18">
                  <c:v>5</c:v>
                </c:pt>
                <c:pt idx="19">
                  <c:v>47</c:v>
                </c:pt>
                <c:pt idx="20">
                  <c:v>43</c:v>
                </c:pt>
                <c:pt idx="21">
                  <c:v>50</c:v>
                </c:pt>
                <c:pt idx="22">
                  <c:v>29</c:v>
                </c:pt>
                <c:pt idx="23">
                  <c:v>57</c:v>
                </c:pt>
                <c:pt idx="24">
                  <c:v>22</c:v>
                </c:pt>
                <c:pt idx="25">
                  <c:v>57</c:v>
                </c:pt>
                <c:pt idx="26">
                  <c:v>19</c:v>
                </c:pt>
                <c:pt idx="27">
                  <c:v>2</c:v>
                </c:pt>
                <c:pt idx="28">
                  <c:v>16</c:v>
                </c:pt>
                <c:pt idx="29">
                  <c:v>0</c:v>
                </c:pt>
                <c:pt idx="30">
                  <c:v>0</c:v>
                </c:pt>
                <c:pt idx="31">
                  <c:v>50</c:v>
                </c:pt>
                <c:pt idx="32">
                  <c:v>23</c:v>
                </c:pt>
                <c:pt idx="33">
                  <c:v>23</c:v>
                </c:pt>
                <c:pt idx="34">
                  <c:v>12</c:v>
                </c:pt>
                <c:pt idx="35">
                  <c:v>1</c:v>
                </c:pt>
                <c:pt idx="36">
                  <c:v>55</c:v>
                </c:pt>
                <c:pt idx="37">
                  <c:v>27</c:v>
                </c:pt>
                <c:pt idx="38">
                  <c:v>43</c:v>
                </c:pt>
                <c:pt idx="39">
                  <c:v>47</c:v>
                </c:pt>
                <c:pt idx="40">
                  <c:v>3</c:v>
                </c:pt>
                <c:pt idx="41">
                  <c:v>52</c:v>
                </c:pt>
                <c:pt idx="42">
                  <c:v>57</c:v>
                </c:pt>
                <c:pt idx="43">
                  <c:v>11</c:v>
                </c:pt>
                <c:pt idx="44">
                  <c:v>35</c:v>
                </c:pt>
                <c:pt idx="45">
                  <c:v>57</c:v>
                </c:pt>
                <c:pt idx="46">
                  <c:v>7</c:v>
                </c:pt>
                <c:pt idx="47">
                  <c:v>43</c:v>
                </c:pt>
                <c:pt idx="48">
                  <c:v>36</c:v>
                </c:pt>
                <c:pt idx="49">
                  <c:v>27</c:v>
                </c:pt>
                <c:pt idx="50">
                  <c:v>6</c:v>
                </c:pt>
                <c:pt idx="51">
                  <c:v>49</c:v>
                </c:pt>
                <c:pt idx="52">
                  <c:v>12</c:v>
                </c:pt>
                <c:pt idx="53">
                  <c:v>26</c:v>
                </c:pt>
                <c:pt idx="54">
                  <c:v>36</c:v>
                </c:pt>
                <c:pt idx="55">
                  <c:v>32</c:v>
                </c:pt>
                <c:pt idx="56">
                  <c:v>36</c:v>
                </c:pt>
                <c:pt idx="57">
                  <c:v>4</c:v>
                </c:pt>
                <c:pt idx="58">
                  <c:v>21</c:v>
                </c:pt>
                <c:pt idx="59">
                  <c:v>29</c:v>
                </c:pt>
                <c:pt idx="60">
                  <c:v>57</c:v>
                </c:pt>
                <c:pt idx="61">
                  <c:v>52</c:v>
                </c:pt>
                <c:pt idx="62">
                  <c:v>16</c:v>
                </c:pt>
                <c:pt idx="63">
                  <c:v>57</c:v>
                </c:pt>
                <c:pt idx="64">
                  <c:v>9</c:v>
                </c:pt>
                <c:pt idx="65">
                  <c:v>36</c:v>
                </c:pt>
                <c:pt idx="66">
                  <c:v>32</c:v>
                </c:pt>
              </c:numCache>
            </c:numRef>
          </c:cat>
          <c:val>
            <c:numRef>
              <c:f>'Major Lower Limb Amputation'!$Y$8:$Y$74</c:f>
              <c:numCache>
                <c:formatCode>0.0%</c:formatCode>
                <c:ptCount val="67"/>
                <c:pt idx="0">
                  <c:v>0.64</c:v>
                </c:pt>
                <c:pt idx="1">
                  <c:v>1</c:v>
                </c:pt>
                <c:pt idx="2">
                  <c:v>0.85</c:v>
                </c:pt>
                <c:pt idx="3">
                  <c:v>0.7</c:v>
                </c:pt>
                <c:pt idx="4">
                  <c:v>0.99</c:v>
                </c:pt>
                <c:pt idx="5">
                  <c:v>0.91</c:v>
                </c:pt>
                <c:pt idx="6">
                  <c:v>0.6</c:v>
                </c:pt>
                <c:pt idx="7">
                  <c:v>0.89</c:v>
                </c:pt>
                <c:pt idx="8">
                  <c:v>0.75</c:v>
                </c:pt>
                <c:pt idx="9">
                  <c:v>1</c:v>
                </c:pt>
                <c:pt idx="10">
                  <c:v>0.89</c:v>
                </c:pt>
                <c:pt idx="11">
                  <c:v>0.98</c:v>
                </c:pt>
                <c:pt idx="12">
                  <c:v>0.84</c:v>
                </c:pt>
                <c:pt idx="13">
                  <c:v>0.66</c:v>
                </c:pt>
                <c:pt idx="14">
                  <c:v>1</c:v>
                </c:pt>
                <c:pt idx="15">
                  <c:v>0.67</c:v>
                </c:pt>
                <c:pt idx="16">
                  <c:v>0.57999999999999996</c:v>
                </c:pt>
                <c:pt idx="17">
                  <c:v>0.89</c:v>
                </c:pt>
                <c:pt idx="18">
                  <c:v>0.45</c:v>
                </c:pt>
                <c:pt idx="19">
                  <c:v>0.92</c:v>
                </c:pt>
                <c:pt idx="20">
                  <c:v>0.9</c:v>
                </c:pt>
                <c:pt idx="21">
                  <c:v>0.97</c:v>
                </c:pt>
                <c:pt idx="22">
                  <c:v>0.83</c:v>
                </c:pt>
                <c:pt idx="23">
                  <c:v>1</c:v>
                </c:pt>
                <c:pt idx="24">
                  <c:v>0.74</c:v>
                </c:pt>
                <c:pt idx="25">
                  <c:v>1</c:v>
                </c:pt>
                <c:pt idx="26">
                  <c:v>0.69</c:v>
                </c:pt>
                <c:pt idx="27">
                  <c:v>0.18</c:v>
                </c:pt>
                <c:pt idx="28">
                  <c:v>0.67</c:v>
                </c:pt>
                <c:pt idx="29">
                  <c:v>0</c:v>
                </c:pt>
                <c:pt idx="30">
                  <c:v>0</c:v>
                </c:pt>
                <c:pt idx="31">
                  <c:v>0.97</c:v>
                </c:pt>
                <c:pt idx="32">
                  <c:v>0.75</c:v>
                </c:pt>
                <c:pt idx="33">
                  <c:v>0.75</c:v>
                </c:pt>
                <c:pt idx="34">
                  <c:v>0.64</c:v>
                </c:pt>
                <c:pt idx="35">
                  <c:v>0.17</c:v>
                </c:pt>
                <c:pt idx="36">
                  <c:v>0.99</c:v>
                </c:pt>
                <c:pt idx="37">
                  <c:v>0.82</c:v>
                </c:pt>
                <c:pt idx="38">
                  <c:v>0.9</c:v>
                </c:pt>
                <c:pt idx="39">
                  <c:v>0.92</c:v>
                </c:pt>
                <c:pt idx="40">
                  <c:v>0.38</c:v>
                </c:pt>
                <c:pt idx="41">
                  <c:v>0.98</c:v>
                </c:pt>
                <c:pt idx="42">
                  <c:v>1</c:v>
                </c:pt>
                <c:pt idx="43">
                  <c:v>0.61</c:v>
                </c:pt>
                <c:pt idx="44">
                  <c:v>0.88</c:v>
                </c:pt>
                <c:pt idx="45">
                  <c:v>1</c:v>
                </c:pt>
                <c:pt idx="46">
                  <c:v>0.56000000000000005</c:v>
                </c:pt>
                <c:pt idx="47">
                  <c:v>0.9</c:v>
                </c:pt>
                <c:pt idx="48">
                  <c:v>0.89</c:v>
                </c:pt>
                <c:pt idx="49">
                  <c:v>0.82</c:v>
                </c:pt>
                <c:pt idx="50">
                  <c:v>0.49</c:v>
                </c:pt>
                <c:pt idx="51">
                  <c:v>0.94</c:v>
                </c:pt>
                <c:pt idx="52">
                  <c:v>0.64</c:v>
                </c:pt>
                <c:pt idx="53">
                  <c:v>0.78</c:v>
                </c:pt>
                <c:pt idx="54">
                  <c:v>0.89</c:v>
                </c:pt>
                <c:pt idx="55">
                  <c:v>0.85</c:v>
                </c:pt>
                <c:pt idx="56">
                  <c:v>0.89</c:v>
                </c:pt>
                <c:pt idx="57">
                  <c:v>0.41</c:v>
                </c:pt>
                <c:pt idx="58">
                  <c:v>0.73</c:v>
                </c:pt>
                <c:pt idx="59">
                  <c:v>0.83</c:v>
                </c:pt>
                <c:pt idx="60">
                  <c:v>1</c:v>
                </c:pt>
                <c:pt idx="61">
                  <c:v>0.98</c:v>
                </c:pt>
                <c:pt idx="62">
                  <c:v>0.67</c:v>
                </c:pt>
                <c:pt idx="63">
                  <c:v>1</c:v>
                </c:pt>
                <c:pt idx="64">
                  <c:v>0.6</c:v>
                </c:pt>
                <c:pt idx="65">
                  <c:v>0.89</c:v>
                </c:pt>
                <c:pt idx="66">
                  <c:v>0.85</c:v>
                </c:pt>
              </c:numCache>
            </c:numRef>
          </c:val>
          <c:extLst>
            <c:ext xmlns:c16="http://schemas.microsoft.com/office/drawing/2014/chart" uri="{C3380CC4-5D6E-409C-BE32-E72D297353CC}">
              <c16:uniqueId val="{00000000-5C81-4FEE-A1EA-14B09CB049B2}"/>
            </c:ext>
          </c:extLst>
        </c:ser>
        <c:dLbls>
          <c:showLegendKey val="0"/>
          <c:showVal val="0"/>
          <c:showCatName val="0"/>
          <c:showSerName val="0"/>
          <c:showPercent val="0"/>
          <c:showBubbleSize val="0"/>
        </c:dLbls>
        <c:axId val="636777608"/>
        <c:axId val="636780232"/>
      </c:areaChart>
      <c:scatterChart>
        <c:scatterStyle val="lineMarker"/>
        <c:varyColors val="0"/>
        <c:ser>
          <c:idx val="1"/>
          <c:order val="1"/>
          <c:tx>
            <c:strRef>
              <c:f>'Amputation Summary'!$B$29</c:f>
              <c:strCache>
                <c:ptCount val="1"/>
                <c:pt idx="0">
                  <c:v>Barking, Havering and Redbridge University Hospitals NHS Trust</c:v>
                </c:pt>
              </c:strCache>
            </c:strRef>
          </c:tx>
          <c:spPr>
            <a:ln w="28575" cap="rnd">
              <a:solidFill>
                <a:schemeClr val="accent2"/>
              </a:solidFill>
              <a:round/>
            </a:ln>
            <a:effectLst/>
          </c:spPr>
          <c:marker>
            <c:symbol val="none"/>
          </c:marker>
          <c:errBars>
            <c:errDir val="y"/>
            <c:errBarType val="minus"/>
            <c:errValType val="fixedVal"/>
            <c:noEndCap val="1"/>
            <c:val val="1"/>
            <c:spPr>
              <a:noFill/>
              <a:ln w="15875" cap="flat" cmpd="sng" algn="ctr">
                <a:solidFill>
                  <a:schemeClr val="accent2"/>
                </a:solidFill>
                <a:round/>
              </a:ln>
              <a:effectLst/>
            </c:spPr>
          </c:errBars>
          <c:errBars>
            <c:errDir val="x"/>
            <c:errBarType val="both"/>
            <c:errValType val="fixedVal"/>
            <c:noEndCap val="0"/>
            <c:val val="1"/>
            <c:spPr>
              <a:noFill/>
              <a:ln w="9525" cap="flat" cmpd="sng" algn="ctr">
                <a:noFill/>
                <a:round/>
              </a:ln>
              <a:effectLst/>
            </c:spPr>
          </c:errBars>
          <c:xVal>
            <c:numRef>
              <c:f>'Amputation Summary'!$AD$4</c:f>
              <c:numCache>
                <c:formatCode>General</c:formatCode>
                <c:ptCount val="1"/>
                <c:pt idx="0">
                  <c:v>12</c:v>
                </c:pt>
              </c:numCache>
            </c:numRef>
          </c:xVal>
          <c:yVal>
            <c:numRef>
              <c:f>'Amputation Summary'!$AB$4</c:f>
              <c:numCache>
                <c:formatCode>General</c:formatCode>
                <c:ptCount val="1"/>
                <c:pt idx="0">
                  <c:v>0.64</c:v>
                </c:pt>
              </c:numCache>
            </c:numRef>
          </c:yVal>
          <c:smooth val="0"/>
          <c:extLst>
            <c:ext xmlns:c16="http://schemas.microsoft.com/office/drawing/2014/chart" uri="{C3380CC4-5D6E-409C-BE32-E72D297353CC}">
              <c16:uniqueId val="{00000001-5C81-4FEE-A1EA-14B09CB049B2}"/>
            </c:ext>
          </c:extLst>
        </c:ser>
        <c:dLbls>
          <c:showLegendKey val="0"/>
          <c:showVal val="0"/>
          <c:showCatName val="0"/>
          <c:showSerName val="0"/>
          <c:showPercent val="0"/>
          <c:showBubbleSize val="0"/>
        </c:dLbls>
        <c:axId val="636777608"/>
        <c:axId val="636780232"/>
      </c:scatterChart>
      <c:dateAx>
        <c:axId val="636777608"/>
        <c:scaling>
          <c:orientation val="minMax"/>
        </c:scaling>
        <c:delete val="1"/>
        <c:axPos val="b"/>
        <c:numFmt formatCode="General" sourceLinked="1"/>
        <c:majorTickMark val="none"/>
        <c:minorTickMark val="none"/>
        <c:tickLblPos val="nextTo"/>
        <c:crossAx val="636780232"/>
        <c:crosses val="autoZero"/>
        <c:auto val="0"/>
        <c:lblOffset val="100"/>
        <c:baseTimeUnit val="days"/>
      </c:dateAx>
      <c:valAx>
        <c:axId val="63678023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6367776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'Major Lower Limb Amputation'!$I$7</c:f>
          <c:strCache>
            <c:ptCount val="1"/>
            <c:pt idx="0">
              <c:v>AKA:BKA  2022</c:v>
            </c:pt>
          </c:strCache>
        </c:strRef>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strRef>
              <c:f>'Major Lower Limb Amputation'!$I$7</c:f>
              <c:strCache>
                <c:ptCount val="1"/>
                <c:pt idx="0">
                  <c:v>AKA:BKA  2022</c:v>
                </c:pt>
              </c:strCache>
            </c:strRef>
          </c:tx>
          <c:spPr>
            <a:ln w="25400" cap="rnd">
              <a:noFill/>
              <a:round/>
            </a:ln>
            <a:effectLst/>
          </c:spPr>
          <c:marker>
            <c:symbol val="diamond"/>
            <c:size val="7"/>
            <c:spPr>
              <a:solidFill>
                <a:schemeClr val="accent1"/>
              </a:solidFill>
              <a:ln w="9525">
                <a:noFill/>
              </a:ln>
              <a:effectLst/>
            </c:spPr>
          </c:marker>
          <c:errBars>
            <c:errDir val="y"/>
            <c:errBarType val="both"/>
            <c:errValType val="cust"/>
            <c:noEndCap val="1"/>
            <c:plus>
              <c:numRef>
                <c:f>'Amputation Summary'!$AO$2:$AO$67</c:f>
                <c:numCache>
                  <c:formatCode>General</c:formatCode>
                  <c:ptCount val="66"/>
                  <c:pt idx="0">
                    <c:v>0.25</c:v>
                  </c:pt>
                  <c:pt idx="1">
                    <c:v>0.41000000000000003</c:v>
                  </c:pt>
                  <c:pt idx="2">
                    <c:v>0.63</c:v>
                  </c:pt>
                  <c:pt idx="3">
                    <c:v>0.38</c:v>
                  </c:pt>
                  <c:pt idx="4">
                    <c:v>0.25</c:v>
                  </c:pt>
                  <c:pt idx="5">
                    <c:v>0.26000000000000006</c:v>
                  </c:pt>
                  <c:pt idx="6">
                    <c:v>0.27999999999999997</c:v>
                  </c:pt>
                  <c:pt idx="7">
                    <c:v>0.41999999999999993</c:v>
                  </c:pt>
                  <c:pt idx="8">
                    <c:v>0.43999999999999995</c:v>
                  </c:pt>
                  <c:pt idx="9">
                    <c:v>0.27</c:v>
                  </c:pt>
                  <c:pt idx="10">
                    <c:v>0.37</c:v>
                  </c:pt>
                  <c:pt idx="11">
                    <c:v>0.77000000000000013</c:v>
                  </c:pt>
                  <c:pt idx="12">
                    <c:v>0.50000000000000011</c:v>
                  </c:pt>
                  <c:pt idx="13">
                    <c:v>1.69</c:v>
                  </c:pt>
                  <c:pt idx="14">
                    <c:v>0.35</c:v>
                  </c:pt>
                  <c:pt idx="15">
                    <c:v>0.48</c:v>
                  </c:pt>
                  <c:pt idx="16">
                    <c:v>0.90000000000000013</c:v>
                  </c:pt>
                  <c:pt idx="17">
                    <c:v>1.54</c:v>
                  </c:pt>
                  <c:pt idx="18">
                    <c:v>0.29000000000000004</c:v>
                  </c:pt>
                  <c:pt idx="19">
                    <c:v>0.32000000000000006</c:v>
                  </c:pt>
                  <c:pt idx="20">
                    <c:v>1.3099999999999998</c:v>
                  </c:pt>
                  <c:pt idx="21">
                    <c:v>0.28000000000000003</c:v>
                  </c:pt>
                  <c:pt idx="22">
                    <c:v>1.2299999999999998</c:v>
                  </c:pt>
                  <c:pt idx="23">
                    <c:v>0.42000000000000004</c:v>
                  </c:pt>
                  <c:pt idx="24">
                    <c:v>0.54000000000000015</c:v>
                  </c:pt>
                  <c:pt idx="25">
                    <c:v>1.1000000000000001</c:v>
                  </c:pt>
                  <c:pt idx="26">
                    <c:v>0.5099999999999999</c:v>
                  </c:pt>
                  <c:pt idx="27">
                    <c:v>0.52999999999999992</c:v>
                  </c:pt>
                  <c:pt idx="28">
                    <c:v>0.38</c:v>
                  </c:pt>
                  <c:pt idx="29">
                    <c:v>0.57999999999999996</c:v>
                  </c:pt>
                  <c:pt idx="30">
                    <c:v>0.47</c:v>
                  </c:pt>
                  <c:pt idx="31">
                    <c:v>0.47</c:v>
                  </c:pt>
                  <c:pt idx="32">
                    <c:v>0.78</c:v>
                  </c:pt>
                  <c:pt idx="33">
                    <c:v>0.49</c:v>
                  </c:pt>
                  <c:pt idx="34">
                    <c:v>0.74</c:v>
                  </c:pt>
                  <c:pt idx="35">
                    <c:v>0.78</c:v>
                  </c:pt>
                  <c:pt idx="36">
                    <c:v>0.80999999999999983</c:v>
                  </c:pt>
                  <c:pt idx="37">
                    <c:v>0.45999999999999996</c:v>
                  </c:pt>
                  <c:pt idx="38">
                    <c:v>0.76</c:v>
                  </c:pt>
                  <c:pt idx="39">
                    <c:v>1.27</c:v>
                  </c:pt>
                  <c:pt idx="40">
                    <c:v>0.55000000000000004</c:v>
                  </c:pt>
                  <c:pt idx="41">
                    <c:v>0.9800000000000002</c:v>
                  </c:pt>
                  <c:pt idx="42">
                    <c:v>0.89000000000000012</c:v>
                  </c:pt>
                  <c:pt idx="43">
                    <c:v>1.2999999999999998</c:v>
                  </c:pt>
                  <c:pt idx="44">
                    <c:v>1.02</c:v>
                  </c:pt>
                  <c:pt idx="45">
                    <c:v>0.79999999999999982</c:v>
                  </c:pt>
                  <c:pt idx="46">
                    <c:v>1.3499999999999999</c:v>
                  </c:pt>
                  <c:pt idx="47">
                    <c:v>0.8400000000000003</c:v>
                  </c:pt>
                  <c:pt idx="48">
                    <c:v>1.4500000000000002</c:v>
                  </c:pt>
                  <c:pt idx="49">
                    <c:v>0.82999999999999985</c:v>
                  </c:pt>
                  <c:pt idx="50">
                    <c:v>1.1900000000000002</c:v>
                  </c:pt>
                  <c:pt idx="51">
                    <c:v>2.29</c:v>
                  </c:pt>
                  <c:pt idx="52">
                    <c:v>0.83000000000000007</c:v>
                  </c:pt>
                  <c:pt idx="53">
                    <c:v>2.06</c:v>
                  </c:pt>
                  <c:pt idx="54">
                    <c:v>4.07</c:v>
                  </c:pt>
                  <c:pt idx="55">
                    <c:v>4</c:v>
                  </c:pt>
                  <c:pt idx="56">
                    <c:v>3.83</c:v>
                  </c:pt>
                  <c:pt idx="57">
                    <c:v>2.17</c:v>
                  </c:pt>
                  <c:pt idx="58">
                    <c:v>2</c:v>
                  </c:pt>
                </c:numCache>
              </c:numRef>
            </c:plus>
            <c:minus>
              <c:numRef>
                <c:f>'Amputation Summary'!$AN$2:$AN$67</c:f>
                <c:numCache>
                  <c:formatCode>General</c:formatCode>
                  <c:ptCount val="66"/>
                  <c:pt idx="0">
                    <c:v>0.08</c:v>
                  </c:pt>
                  <c:pt idx="1">
                    <c:v>0.13999999999999999</c:v>
                  </c:pt>
                  <c:pt idx="2">
                    <c:v>0.22999999999999998</c:v>
                  </c:pt>
                  <c:pt idx="3">
                    <c:v>0.19</c:v>
                  </c:pt>
                  <c:pt idx="4">
                    <c:v>0.15000000000000002</c:v>
                  </c:pt>
                  <c:pt idx="5">
                    <c:v>0.14999999999999997</c:v>
                  </c:pt>
                  <c:pt idx="6">
                    <c:v>0.17000000000000004</c:v>
                  </c:pt>
                  <c:pt idx="7">
                    <c:v>0.24</c:v>
                  </c:pt>
                  <c:pt idx="8">
                    <c:v>0.24</c:v>
                  </c:pt>
                  <c:pt idx="9">
                    <c:v>0.18999999999999995</c:v>
                  </c:pt>
                  <c:pt idx="10">
                    <c:v>0.22999999999999998</c:v>
                  </c:pt>
                  <c:pt idx="11">
                    <c:v>0.33999999999999997</c:v>
                  </c:pt>
                  <c:pt idx="12">
                    <c:v>0.27999999999999997</c:v>
                  </c:pt>
                  <c:pt idx="13">
                    <c:v>0.48000000000000004</c:v>
                  </c:pt>
                  <c:pt idx="14">
                    <c:v>0.23000000000000004</c:v>
                  </c:pt>
                  <c:pt idx="15">
                    <c:v>0.27999999999999997</c:v>
                  </c:pt>
                  <c:pt idx="16">
                    <c:v>0.38999999999999996</c:v>
                  </c:pt>
                  <c:pt idx="17">
                    <c:v>0.48</c:v>
                  </c:pt>
                  <c:pt idx="18">
                    <c:v>0.20999999999999996</c:v>
                  </c:pt>
                  <c:pt idx="19">
                    <c:v>0.21999999999999997</c:v>
                  </c:pt>
                  <c:pt idx="20">
                    <c:v>0.49000000000000005</c:v>
                  </c:pt>
                  <c:pt idx="21">
                    <c:v>0.21000000000000008</c:v>
                  </c:pt>
                  <c:pt idx="22">
                    <c:v>0.48000000000000004</c:v>
                  </c:pt>
                  <c:pt idx="23">
                    <c:v>0.27999999999999992</c:v>
                  </c:pt>
                  <c:pt idx="24">
                    <c:v>0.31999999999999995</c:v>
                  </c:pt>
                  <c:pt idx="25">
                    <c:v>0.47</c:v>
                  </c:pt>
                  <c:pt idx="26">
                    <c:v>0.32999999999999996</c:v>
                  </c:pt>
                  <c:pt idx="27">
                    <c:v>0.32999999999999996</c:v>
                  </c:pt>
                  <c:pt idx="28">
                    <c:v>0.27</c:v>
                  </c:pt>
                  <c:pt idx="29">
                    <c:v>0.36</c:v>
                  </c:pt>
                  <c:pt idx="30">
                    <c:v>0.31999999999999995</c:v>
                  </c:pt>
                  <c:pt idx="31">
                    <c:v>0.30999999999999994</c:v>
                  </c:pt>
                  <c:pt idx="32">
                    <c:v>0.43999999999999995</c:v>
                  </c:pt>
                  <c:pt idx="33">
                    <c:v>0.33000000000000007</c:v>
                  </c:pt>
                  <c:pt idx="34">
                    <c:v>0.43000000000000005</c:v>
                  </c:pt>
                  <c:pt idx="35">
                    <c:v>0.45000000000000007</c:v>
                  </c:pt>
                  <c:pt idx="36">
                    <c:v>0.46000000000000008</c:v>
                  </c:pt>
                  <c:pt idx="37">
                    <c:v>0.33000000000000007</c:v>
                  </c:pt>
                  <c:pt idx="38">
                    <c:v>0.45000000000000007</c:v>
                  </c:pt>
                  <c:pt idx="39">
                    <c:v>0.59999999999999987</c:v>
                  </c:pt>
                  <c:pt idx="40">
                    <c:v>0.36999999999999988</c:v>
                  </c:pt>
                  <c:pt idx="41">
                    <c:v>0.52999999999999992</c:v>
                  </c:pt>
                  <c:pt idx="42">
                    <c:v>0.52</c:v>
                  </c:pt>
                  <c:pt idx="43">
                    <c:v>0.65</c:v>
                  </c:pt>
                  <c:pt idx="44">
                    <c:v>0.57000000000000006</c:v>
                  </c:pt>
                  <c:pt idx="45">
                    <c:v>0.50000000000000011</c:v>
                  </c:pt>
                  <c:pt idx="46">
                    <c:v>0.68</c:v>
                  </c:pt>
                  <c:pt idx="47">
                    <c:v>0.51999999999999991</c:v>
                  </c:pt>
                  <c:pt idx="48">
                    <c:v>0.69999999999999984</c:v>
                  </c:pt>
                  <c:pt idx="49">
                    <c:v>0.53</c:v>
                  </c:pt>
                  <c:pt idx="50">
                    <c:v>0.67</c:v>
                  </c:pt>
                  <c:pt idx="51">
                    <c:v>0.95999999999999985</c:v>
                  </c:pt>
                  <c:pt idx="52">
                    <c:v>0.54999999999999982</c:v>
                  </c:pt>
                  <c:pt idx="53">
                    <c:v>1.07</c:v>
                  </c:pt>
                  <c:pt idx="54">
                    <c:v>1.9500000000000002</c:v>
                  </c:pt>
                  <c:pt idx="55">
                    <c:v>2.35</c:v>
                  </c:pt>
                  <c:pt idx="56">
                    <c:v>2.1799999999999997</c:v>
                  </c:pt>
                  <c:pt idx="57">
                    <c:v>3.7800000000000002</c:v>
                  </c:pt>
                  <c:pt idx="58">
                    <c:v>4.28</c:v>
                  </c:pt>
                </c:numCache>
              </c:numRef>
            </c:minus>
            <c:spPr>
              <a:noFill/>
              <a:ln w="12700" cap="flat" cmpd="sng" algn="ctr">
                <a:solidFill>
                  <a:schemeClr val="tx1">
                    <a:lumMod val="65000"/>
                    <a:lumOff val="35000"/>
                  </a:schemeClr>
                </a:solidFill>
                <a:round/>
              </a:ln>
              <a:effectLst/>
            </c:spPr>
          </c:errBars>
          <c:cat>
            <c:strRef>
              <c:f>'Amputation Summary'!$AK$2:$AK$60</c:f>
              <c:strCache>
                <c:ptCount val="59"/>
                <c:pt idx="0">
                  <c:v>SH999</c:v>
                </c:pt>
                <c:pt idx="1">
                  <c:v>R1K</c:v>
                </c:pt>
                <c:pt idx="2">
                  <c:v>RH5</c:v>
                </c:pt>
                <c:pt idx="3">
                  <c:v>RTH</c:v>
                </c:pt>
                <c:pt idx="4">
                  <c:v>RWA</c:v>
                </c:pt>
                <c:pt idx="5">
                  <c:v>RHM</c:v>
                </c:pt>
                <c:pt idx="6">
                  <c:v>RM1</c:v>
                </c:pt>
                <c:pt idx="7">
                  <c:v>RCB</c:v>
                </c:pt>
                <c:pt idx="8">
                  <c:v>ST999</c:v>
                </c:pt>
                <c:pt idx="9">
                  <c:v>7A4</c:v>
                </c:pt>
                <c:pt idx="10">
                  <c:v>RVJ</c:v>
                </c:pt>
                <c:pt idx="11">
                  <c:v>RTE</c:v>
                </c:pt>
                <c:pt idx="12">
                  <c:v>RWP</c:v>
                </c:pt>
                <c:pt idx="13">
                  <c:v>RWG</c:v>
                </c:pt>
                <c:pt idx="14">
                  <c:v>RGT</c:v>
                </c:pt>
                <c:pt idx="15">
                  <c:v>RWE</c:v>
                </c:pt>
                <c:pt idx="16">
                  <c:v>SS999</c:v>
                </c:pt>
                <c:pt idx="17">
                  <c:v>R0D</c:v>
                </c:pt>
                <c:pt idx="18">
                  <c:v>SL999</c:v>
                </c:pt>
                <c:pt idx="19">
                  <c:v>ZT001</c:v>
                </c:pt>
                <c:pt idx="20">
                  <c:v>RJ7</c:v>
                </c:pt>
                <c:pt idx="21">
                  <c:v>RRK</c:v>
                </c:pt>
                <c:pt idx="22">
                  <c:v>RKB</c:v>
                </c:pt>
                <c:pt idx="23">
                  <c:v>RX1</c:v>
                </c:pt>
                <c:pt idx="24">
                  <c:v>RTR</c:v>
                </c:pt>
                <c:pt idx="25">
                  <c:v>RK9</c:v>
                </c:pt>
                <c:pt idx="26">
                  <c:v>REM</c:v>
                </c:pt>
                <c:pt idx="27">
                  <c:v>RR8</c:v>
                </c:pt>
                <c:pt idx="28">
                  <c:v>R0B</c:v>
                </c:pt>
                <c:pt idx="29">
                  <c:v>RM3</c:v>
                </c:pt>
                <c:pt idx="30">
                  <c:v>RAJ</c:v>
                </c:pt>
                <c:pt idx="31">
                  <c:v>RJE</c:v>
                </c:pt>
                <c:pt idx="32">
                  <c:v>RC9</c:v>
                </c:pt>
                <c:pt idx="33">
                  <c:v>RYR</c:v>
                </c:pt>
                <c:pt idx="34">
                  <c:v>RDE</c:v>
                </c:pt>
                <c:pt idx="35">
                  <c:v>RDU</c:v>
                </c:pt>
                <c:pt idx="36">
                  <c:v>RH8</c:v>
                </c:pt>
                <c:pt idx="37">
                  <c:v>RXN</c:v>
                </c:pt>
                <c:pt idx="38">
                  <c:v>RXR</c:v>
                </c:pt>
                <c:pt idx="39">
                  <c:v>RNN</c:v>
                </c:pt>
                <c:pt idx="40">
                  <c:v>RTD</c:v>
                </c:pt>
                <c:pt idx="41">
                  <c:v>RNA</c:v>
                </c:pt>
                <c:pt idx="42">
                  <c:v>RTG</c:v>
                </c:pt>
                <c:pt idx="43">
                  <c:v>RHQ</c:v>
                </c:pt>
                <c:pt idx="44">
                  <c:v>RYJ</c:v>
                </c:pt>
                <c:pt idx="45">
                  <c:v>7A1</c:v>
                </c:pt>
                <c:pt idx="46">
                  <c:v>RAE</c:v>
                </c:pt>
                <c:pt idx="47">
                  <c:v>RJ1</c:v>
                </c:pt>
                <c:pt idx="48">
                  <c:v>REF</c:v>
                </c:pt>
                <c:pt idx="49">
                  <c:v>RJR</c:v>
                </c:pt>
                <c:pt idx="50">
                  <c:v>RXW</c:v>
                </c:pt>
                <c:pt idx="51">
                  <c:v>RNS</c:v>
                </c:pt>
                <c:pt idx="52">
                  <c:v>7A3</c:v>
                </c:pt>
                <c:pt idx="53">
                  <c:v>RVV</c:v>
                </c:pt>
                <c:pt idx="54">
                  <c:v>R0A</c:v>
                </c:pt>
                <c:pt idx="55">
                  <c:v>RWD</c:v>
                </c:pt>
                <c:pt idx="56">
                  <c:v>RF4</c:v>
                </c:pt>
                <c:pt idx="57">
                  <c:v>R1H</c:v>
                </c:pt>
                <c:pt idx="58">
                  <c:v>RJZ</c:v>
                </c:pt>
              </c:strCache>
            </c:strRef>
          </c:cat>
          <c:val>
            <c:numRef>
              <c:f>'Amputation Summary'!$AM$2:$AM$60</c:f>
              <c:numCache>
                <c:formatCode>General</c:formatCode>
                <c:ptCount val="59"/>
                <c:pt idx="0">
                  <c:v>0.13</c:v>
                </c:pt>
                <c:pt idx="1">
                  <c:v>0.21</c:v>
                </c:pt>
                <c:pt idx="2">
                  <c:v>0.36</c:v>
                </c:pt>
                <c:pt idx="3">
                  <c:v>0.38</c:v>
                </c:pt>
                <c:pt idx="4">
                  <c:v>0.4</c:v>
                </c:pt>
                <c:pt idx="5">
                  <c:v>0.42</c:v>
                </c:pt>
                <c:pt idx="6">
                  <c:v>0.46</c:v>
                </c:pt>
                <c:pt idx="7">
                  <c:v>0.52</c:v>
                </c:pt>
                <c:pt idx="8">
                  <c:v>0.52</c:v>
                </c:pt>
                <c:pt idx="9">
                  <c:v>0.57999999999999996</c:v>
                </c:pt>
                <c:pt idx="10">
                  <c:v>0.6</c:v>
                </c:pt>
                <c:pt idx="11">
                  <c:v>0.6</c:v>
                </c:pt>
                <c:pt idx="12">
                  <c:v>0.61</c:v>
                </c:pt>
                <c:pt idx="13">
                  <c:v>0.67</c:v>
                </c:pt>
                <c:pt idx="14">
                  <c:v>0.67</c:v>
                </c:pt>
                <c:pt idx="15">
                  <c:v>0.71</c:v>
                </c:pt>
                <c:pt idx="16">
                  <c:v>0.71</c:v>
                </c:pt>
                <c:pt idx="17">
                  <c:v>0.71</c:v>
                </c:pt>
                <c:pt idx="18">
                  <c:v>0.73</c:v>
                </c:pt>
                <c:pt idx="19">
                  <c:v>0.77</c:v>
                </c:pt>
                <c:pt idx="20">
                  <c:v>0.78</c:v>
                </c:pt>
                <c:pt idx="21">
                  <c:v>0.78</c:v>
                </c:pt>
                <c:pt idx="22">
                  <c:v>0.8</c:v>
                </c:pt>
                <c:pt idx="23">
                  <c:v>0.82</c:v>
                </c:pt>
                <c:pt idx="24">
                  <c:v>0.82</c:v>
                </c:pt>
                <c:pt idx="25">
                  <c:v>0.83</c:v>
                </c:pt>
                <c:pt idx="26">
                  <c:v>0.87</c:v>
                </c:pt>
                <c:pt idx="27">
                  <c:v>0.89</c:v>
                </c:pt>
                <c:pt idx="28">
                  <c:v>0.91</c:v>
                </c:pt>
                <c:pt idx="29">
                  <c:v>0.91</c:v>
                </c:pt>
                <c:pt idx="30">
                  <c:v>0.96</c:v>
                </c:pt>
                <c:pt idx="31">
                  <c:v>0.96</c:v>
                </c:pt>
                <c:pt idx="32">
                  <c:v>1</c:v>
                </c:pt>
                <c:pt idx="33">
                  <c:v>1.02</c:v>
                </c:pt>
                <c:pt idx="34">
                  <c:v>1.04</c:v>
                </c:pt>
                <c:pt idx="35">
                  <c:v>1.08</c:v>
                </c:pt>
                <c:pt idx="36">
                  <c:v>1.08</c:v>
                </c:pt>
                <c:pt idx="37">
                  <c:v>1.0900000000000001</c:v>
                </c:pt>
                <c:pt idx="38">
                  <c:v>1.1100000000000001</c:v>
                </c:pt>
                <c:pt idx="39">
                  <c:v>1.1499999999999999</c:v>
                </c:pt>
                <c:pt idx="40">
                  <c:v>1.1499999999999999</c:v>
                </c:pt>
                <c:pt idx="41">
                  <c:v>1.1599999999999999</c:v>
                </c:pt>
                <c:pt idx="42">
                  <c:v>1.25</c:v>
                </c:pt>
                <c:pt idx="43">
                  <c:v>1.29</c:v>
                </c:pt>
                <c:pt idx="44">
                  <c:v>1.33</c:v>
                </c:pt>
                <c:pt idx="45">
                  <c:v>1.35</c:v>
                </c:pt>
                <c:pt idx="46">
                  <c:v>1.36</c:v>
                </c:pt>
                <c:pt idx="47">
                  <c:v>1.38</c:v>
                </c:pt>
                <c:pt idx="48">
                  <c:v>1.38</c:v>
                </c:pt>
                <c:pt idx="49">
                  <c:v>1.47</c:v>
                </c:pt>
                <c:pt idx="50">
                  <c:v>1.53</c:v>
                </c:pt>
                <c:pt idx="51">
                  <c:v>1.63</c:v>
                </c:pt>
                <c:pt idx="52">
                  <c:v>1.65</c:v>
                </c:pt>
                <c:pt idx="53">
                  <c:v>2.23</c:v>
                </c:pt>
                <c:pt idx="54">
                  <c:v>3.43</c:v>
                </c:pt>
                <c:pt idx="55">
                  <c:v>3.5</c:v>
                </c:pt>
                <c:pt idx="56">
                  <c:v>3.67</c:v>
                </c:pt>
                <c:pt idx="57">
                  <c:v>5.33</c:v>
                </c:pt>
                <c:pt idx="58">
                  <c:v>5.5</c:v>
                </c:pt>
              </c:numCache>
            </c:numRef>
          </c:val>
          <c:smooth val="0"/>
          <c:extLst>
            <c:ext xmlns:c16="http://schemas.microsoft.com/office/drawing/2014/chart" uri="{C3380CC4-5D6E-409C-BE32-E72D297353CC}">
              <c16:uniqueId val="{00000000-781E-4601-ACB5-2F25970004B4}"/>
            </c:ext>
          </c:extLst>
        </c:ser>
        <c:dLbls>
          <c:showLegendKey val="0"/>
          <c:showVal val="0"/>
          <c:showCatName val="0"/>
          <c:showSerName val="0"/>
          <c:showPercent val="0"/>
          <c:showBubbleSize val="0"/>
        </c:dLbls>
        <c:marker val="1"/>
        <c:smooth val="0"/>
        <c:axId val="606186136"/>
        <c:axId val="606183840"/>
      </c:lineChart>
      <c:scatterChart>
        <c:scatterStyle val="lineMarker"/>
        <c:varyColors val="0"/>
        <c:ser>
          <c:idx val="1"/>
          <c:order val="1"/>
          <c:tx>
            <c:strRef>
              <c:f>'Amputation Summary'!$B$29</c:f>
              <c:strCache>
                <c:ptCount val="1"/>
                <c:pt idx="0">
                  <c:v>Barking, Havering and Redbridge University Hospitals NHS Trust</c:v>
                </c:pt>
              </c:strCache>
            </c:strRef>
          </c:tx>
          <c:spPr>
            <a:ln w="25400" cap="rnd">
              <a:noFill/>
              <a:round/>
            </a:ln>
            <a:effectLst/>
          </c:spPr>
          <c:marker>
            <c:symbol val="circle"/>
            <c:size val="5"/>
            <c:spPr>
              <a:solidFill>
                <a:schemeClr val="accent2"/>
              </a:solidFill>
              <a:ln w="9525">
                <a:noFill/>
              </a:ln>
              <a:effectLst/>
            </c:spPr>
          </c:marker>
          <c:errBars>
            <c:errDir val="y"/>
            <c:errBarType val="both"/>
            <c:errValType val="cust"/>
            <c:noEndCap val="1"/>
            <c:plus>
              <c:numRef>
                <c:f>'Amputation Summary'!$AC$6</c:f>
                <c:numCache>
                  <c:formatCode>General</c:formatCode>
                  <c:ptCount val="1"/>
                  <c:pt idx="0">
                    <c:v>3.83</c:v>
                  </c:pt>
                </c:numCache>
              </c:numRef>
            </c:plus>
            <c:minus>
              <c:numRef>
                <c:f>'Amputation Summary'!$AB$6</c:f>
                <c:numCache>
                  <c:formatCode>General</c:formatCode>
                  <c:ptCount val="1"/>
                  <c:pt idx="0">
                    <c:v>2.1799999999999997</c:v>
                  </c:pt>
                </c:numCache>
              </c:numRef>
            </c:minus>
            <c:spPr>
              <a:noFill/>
              <a:ln w="15875" cap="flat" cmpd="sng" algn="ctr">
                <a:solidFill>
                  <a:srgbClr val="FFC000"/>
                </a:solidFill>
                <a:round/>
              </a:ln>
              <a:effectLst/>
            </c:spPr>
          </c:errBars>
          <c:xVal>
            <c:numRef>
              <c:f>'Amputation Summary'!$AD$6</c:f>
              <c:numCache>
                <c:formatCode>General</c:formatCode>
                <c:ptCount val="1"/>
                <c:pt idx="0">
                  <c:v>57</c:v>
                </c:pt>
              </c:numCache>
            </c:numRef>
          </c:xVal>
          <c:yVal>
            <c:numRef>
              <c:f>'Amputation Summary'!$AA$6</c:f>
              <c:numCache>
                <c:formatCode>General</c:formatCode>
                <c:ptCount val="1"/>
                <c:pt idx="0">
                  <c:v>3.67</c:v>
                </c:pt>
              </c:numCache>
            </c:numRef>
          </c:yVal>
          <c:smooth val="0"/>
          <c:extLst>
            <c:ext xmlns:c16="http://schemas.microsoft.com/office/drawing/2014/chart" uri="{C3380CC4-5D6E-409C-BE32-E72D297353CC}">
              <c16:uniqueId val="{00000001-781E-4601-ACB5-2F25970004B4}"/>
            </c:ext>
          </c:extLst>
        </c:ser>
        <c:ser>
          <c:idx val="2"/>
          <c:order val="2"/>
          <c:tx>
            <c:v>AKA:BKA Standard</c:v>
          </c:tx>
          <c:spPr>
            <a:ln w="12700" cap="rnd">
              <a:solidFill>
                <a:srgbClr val="FF0000"/>
              </a:solidFill>
              <a:round/>
            </a:ln>
            <a:effectLst/>
          </c:spPr>
          <c:marker>
            <c:symbol val="none"/>
          </c:marker>
          <c:xVal>
            <c:numRef>
              <c:f>'Amputation Summary'!$AL$2:$AL$60</c:f>
              <c:numCache>
                <c:formatCode>General</c:formatCode>
                <c:ptCount val="5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numCache>
            </c:numRef>
          </c:xVal>
          <c:yVal>
            <c:numRef>
              <c:f>'Amputation Summary'!$AP$2:$AP$60</c:f>
              <c:numCache>
                <c:formatCode>General</c:formatCode>
                <c:ptCount val="59"/>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numCache>
            </c:numRef>
          </c:yVal>
          <c:smooth val="0"/>
          <c:extLst>
            <c:ext xmlns:c16="http://schemas.microsoft.com/office/drawing/2014/chart" uri="{C3380CC4-5D6E-409C-BE32-E72D297353CC}">
              <c16:uniqueId val="{00000002-781E-4601-ACB5-2F25970004B4}"/>
            </c:ext>
          </c:extLst>
        </c:ser>
        <c:dLbls>
          <c:showLegendKey val="0"/>
          <c:showVal val="0"/>
          <c:showCatName val="0"/>
          <c:showSerName val="0"/>
          <c:showPercent val="0"/>
          <c:showBubbleSize val="0"/>
        </c:dLbls>
        <c:axId val="606186136"/>
        <c:axId val="606183840"/>
      </c:scatterChart>
      <c:catAx>
        <c:axId val="606186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ysClr val="windowText" lastClr="000000"/>
                </a:solidFill>
                <a:latin typeface="+mn-lt"/>
                <a:ea typeface="+mn-ea"/>
                <a:cs typeface="+mn-cs"/>
              </a:defRPr>
            </a:pPr>
            <a:endParaRPr lang="en-US"/>
          </a:p>
        </c:txPr>
        <c:crossAx val="606183840"/>
        <c:crosses val="autoZero"/>
        <c:auto val="1"/>
        <c:lblAlgn val="ctr"/>
        <c:lblOffset val="100"/>
        <c:noMultiLvlLbl val="1"/>
      </c:catAx>
      <c:valAx>
        <c:axId val="606183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606186136"/>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'CEA Summary'!$F$2:$I$2</c:f>
          <c:strCache>
            <c:ptCount val="4"/>
            <c:pt idx="0">
              <c:v>Median delay and IQR from index symptom to surgery (days)</c:v>
            </c:pt>
          </c:strCache>
        </c:strRef>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v>Symptom to CEA</c:v>
          </c:tx>
          <c:spPr>
            <a:ln w="25400" cap="rnd">
              <a:noFill/>
              <a:round/>
            </a:ln>
            <a:effectLst/>
          </c:spPr>
          <c:marker>
            <c:symbol val="diamond"/>
            <c:size val="7"/>
            <c:spPr>
              <a:solidFill>
                <a:schemeClr val="accent1"/>
              </a:solidFill>
              <a:ln w="9525">
                <a:noFill/>
              </a:ln>
              <a:effectLst/>
            </c:spPr>
          </c:marker>
          <c:errBars>
            <c:errDir val="y"/>
            <c:errBarType val="both"/>
            <c:errValType val="cust"/>
            <c:noEndCap val="1"/>
            <c:plus>
              <c:numRef>
                <c:f>'CEA Summary'!$AJ$2:$AJ$69</c:f>
                <c:numCache>
                  <c:formatCode>General</c:formatCode>
                  <c:ptCount val="68"/>
                  <c:pt idx="0">
                    <c:v>3</c:v>
                  </c:pt>
                  <c:pt idx="1">
                    <c:v>2</c:v>
                  </c:pt>
                  <c:pt idx="2">
                    <c:v>3</c:v>
                  </c:pt>
                  <c:pt idx="3">
                    <c:v>4</c:v>
                  </c:pt>
                  <c:pt idx="4">
                    <c:v>6</c:v>
                  </c:pt>
                  <c:pt idx="5">
                    <c:v>7</c:v>
                  </c:pt>
                  <c:pt idx="6">
                    <c:v>3</c:v>
                  </c:pt>
                  <c:pt idx="7">
                    <c:v>3</c:v>
                  </c:pt>
                  <c:pt idx="8">
                    <c:v>3</c:v>
                  </c:pt>
                  <c:pt idx="9">
                    <c:v>5</c:v>
                  </c:pt>
                  <c:pt idx="10">
                    <c:v>5</c:v>
                  </c:pt>
                  <c:pt idx="11">
                    <c:v>9</c:v>
                  </c:pt>
                  <c:pt idx="12">
                    <c:v>3</c:v>
                  </c:pt>
                  <c:pt idx="13">
                    <c:v>4</c:v>
                  </c:pt>
                  <c:pt idx="14">
                    <c:v>4</c:v>
                  </c:pt>
                  <c:pt idx="15">
                    <c:v>5</c:v>
                  </c:pt>
                  <c:pt idx="16">
                    <c:v>5</c:v>
                  </c:pt>
                  <c:pt idx="17">
                    <c:v>7</c:v>
                  </c:pt>
                  <c:pt idx="18">
                    <c:v>7</c:v>
                  </c:pt>
                  <c:pt idx="19">
                    <c:v>1</c:v>
                  </c:pt>
                  <c:pt idx="20">
                    <c:v>4</c:v>
                  </c:pt>
                  <c:pt idx="21">
                    <c:v>5</c:v>
                  </c:pt>
                  <c:pt idx="22">
                    <c:v>5</c:v>
                  </c:pt>
                  <c:pt idx="23">
                    <c:v>14</c:v>
                  </c:pt>
                  <c:pt idx="24">
                    <c:v>1</c:v>
                  </c:pt>
                  <c:pt idx="25">
                    <c:v>3</c:v>
                  </c:pt>
                  <c:pt idx="26">
                    <c:v>4</c:v>
                  </c:pt>
                  <c:pt idx="27">
                    <c:v>6</c:v>
                  </c:pt>
                  <c:pt idx="28">
                    <c:v>9</c:v>
                  </c:pt>
                  <c:pt idx="29">
                    <c:v>14</c:v>
                  </c:pt>
                  <c:pt idx="30">
                    <c:v>4</c:v>
                  </c:pt>
                  <c:pt idx="31">
                    <c:v>7</c:v>
                  </c:pt>
                  <c:pt idx="32">
                    <c:v>7</c:v>
                  </c:pt>
                  <c:pt idx="33">
                    <c:v>7</c:v>
                  </c:pt>
                  <c:pt idx="34">
                    <c:v>7</c:v>
                  </c:pt>
                  <c:pt idx="35">
                    <c:v>8</c:v>
                  </c:pt>
                  <c:pt idx="36">
                    <c:v>11</c:v>
                  </c:pt>
                  <c:pt idx="37">
                    <c:v>12</c:v>
                  </c:pt>
                  <c:pt idx="38">
                    <c:v>23</c:v>
                  </c:pt>
                  <c:pt idx="39">
                    <c:v>9</c:v>
                  </c:pt>
                  <c:pt idx="40">
                    <c:v>11</c:v>
                  </c:pt>
                  <c:pt idx="41">
                    <c:v>13</c:v>
                  </c:pt>
                  <c:pt idx="42">
                    <c:v>14</c:v>
                  </c:pt>
                  <c:pt idx="43">
                    <c:v>5</c:v>
                  </c:pt>
                  <c:pt idx="44">
                    <c:v>6</c:v>
                  </c:pt>
                  <c:pt idx="45">
                    <c:v>33</c:v>
                  </c:pt>
                  <c:pt idx="46">
                    <c:v>14</c:v>
                  </c:pt>
                  <c:pt idx="47">
                    <c:v>19</c:v>
                  </c:pt>
                  <c:pt idx="48">
                    <c:v>26</c:v>
                  </c:pt>
                  <c:pt idx="49">
                    <c:v>8</c:v>
                  </c:pt>
                  <c:pt idx="50">
                    <c:v>21</c:v>
                  </c:pt>
                  <c:pt idx="51">
                    <c:v>38</c:v>
                  </c:pt>
                  <c:pt idx="52">
                    <c:v>8</c:v>
                  </c:pt>
                  <c:pt idx="53">
                    <c:v>13</c:v>
                  </c:pt>
                  <c:pt idx="54">
                    <c:v>17</c:v>
                  </c:pt>
                  <c:pt idx="55">
                    <c:v>24</c:v>
                  </c:pt>
                  <c:pt idx="56">
                    <c:v>5</c:v>
                  </c:pt>
                  <c:pt idx="57">
                    <c:v>24</c:v>
                  </c:pt>
                  <c:pt idx="58">
                    <c:v>9</c:v>
                  </c:pt>
                  <c:pt idx="59">
                    <c:v>18</c:v>
                  </c:pt>
                  <c:pt idx="60">
                    <c:v>10</c:v>
                  </c:pt>
                  <c:pt idx="61">
                    <c:v>13</c:v>
                  </c:pt>
                  <c:pt idx="62">
                    <c:v>11</c:v>
                  </c:pt>
                  <c:pt idx="63">
                    <c:v>11</c:v>
                  </c:pt>
                  <c:pt idx="64">
                    <c:v>4</c:v>
                  </c:pt>
                  <c:pt idx="65">
                    <c:v>16</c:v>
                  </c:pt>
                  <c:pt idx="66">
                    <c:v>21</c:v>
                  </c:pt>
                  <c:pt idx="67">
                    <c:v>0</c:v>
                  </c:pt>
                </c:numCache>
              </c:numRef>
            </c:plus>
            <c:minus>
              <c:numRef>
                <c:f>'CEA Summary'!$AI$2:$AI$69</c:f>
                <c:numCache>
                  <c:formatCode>General</c:formatCode>
                  <c:ptCount val="68"/>
                  <c:pt idx="0">
                    <c:v>1</c:v>
                  </c:pt>
                  <c:pt idx="1">
                    <c:v>1</c:v>
                  </c:pt>
                  <c:pt idx="2">
                    <c:v>2</c:v>
                  </c:pt>
                  <c:pt idx="3">
                    <c:v>2</c:v>
                  </c:pt>
                  <c:pt idx="4">
                    <c:v>3</c:v>
                  </c:pt>
                  <c:pt idx="5">
                    <c:v>3</c:v>
                  </c:pt>
                  <c:pt idx="6">
                    <c:v>4</c:v>
                  </c:pt>
                  <c:pt idx="7">
                    <c:v>3</c:v>
                  </c:pt>
                  <c:pt idx="8">
                    <c:v>3</c:v>
                  </c:pt>
                  <c:pt idx="9">
                    <c:v>2</c:v>
                  </c:pt>
                  <c:pt idx="10">
                    <c:v>2</c:v>
                  </c:pt>
                  <c:pt idx="11">
                    <c:v>5</c:v>
                  </c:pt>
                  <c:pt idx="12">
                    <c:v>4</c:v>
                  </c:pt>
                  <c:pt idx="13">
                    <c:v>2</c:v>
                  </c:pt>
                  <c:pt idx="14">
                    <c:v>1</c:v>
                  </c:pt>
                  <c:pt idx="15">
                    <c:v>4</c:v>
                  </c:pt>
                  <c:pt idx="16">
                    <c:v>3</c:v>
                  </c:pt>
                  <c:pt idx="17">
                    <c:v>4</c:v>
                  </c:pt>
                  <c:pt idx="18">
                    <c:v>3</c:v>
                  </c:pt>
                  <c:pt idx="19">
                    <c:v>4</c:v>
                  </c:pt>
                  <c:pt idx="20">
                    <c:v>5</c:v>
                  </c:pt>
                  <c:pt idx="21">
                    <c:v>4</c:v>
                  </c:pt>
                  <c:pt idx="22">
                    <c:v>3</c:v>
                  </c:pt>
                  <c:pt idx="23">
                    <c:v>4</c:v>
                  </c:pt>
                  <c:pt idx="24">
                    <c:v>3</c:v>
                  </c:pt>
                  <c:pt idx="25">
                    <c:v>4</c:v>
                  </c:pt>
                  <c:pt idx="26">
                    <c:v>2</c:v>
                  </c:pt>
                  <c:pt idx="27">
                    <c:v>3</c:v>
                  </c:pt>
                  <c:pt idx="28">
                    <c:v>3</c:v>
                  </c:pt>
                  <c:pt idx="29">
                    <c:v>6</c:v>
                  </c:pt>
                  <c:pt idx="30">
                    <c:v>3</c:v>
                  </c:pt>
                  <c:pt idx="31">
                    <c:v>6</c:v>
                  </c:pt>
                  <c:pt idx="32">
                    <c:v>6</c:v>
                  </c:pt>
                  <c:pt idx="33">
                    <c:v>4</c:v>
                  </c:pt>
                  <c:pt idx="34">
                    <c:v>4</c:v>
                  </c:pt>
                  <c:pt idx="35">
                    <c:v>4</c:v>
                  </c:pt>
                  <c:pt idx="36">
                    <c:v>4</c:v>
                  </c:pt>
                  <c:pt idx="37">
                    <c:v>6</c:v>
                  </c:pt>
                  <c:pt idx="38">
                    <c:v>8</c:v>
                  </c:pt>
                  <c:pt idx="39">
                    <c:v>4</c:v>
                  </c:pt>
                  <c:pt idx="40">
                    <c:v>3</c:v>
                  </c:pt>
                  <c:pt idx="41">
                    <c:v>7</c:v>
                  </c:pt>
                  <c:pt idx="42">
                    <c:v>5</c:v>
                  </c:pt>
                  <c:pt idx="43">
                    <c:v>7</c:v>
                  </c:pt>
                  <c:pt idx="44">
                    <c:v>6</c:v>
                  </c:pt>
                  <c:pt idx="45">
                    <c:v>6</c:v>
                  </c:pt>
                  <c:pt idx="46">
                    <c:v>4</c:v>
                  </c:pt>
                  <c:pt idx="47">
                    <c:v>10</c:v>
                  </c:pt>
                  <c:pt idx="48">
                    <c:v>6</c:v>
                  </c:pt>
                  <c:pt idx="49">
                    <c:v>7</c:v>
                  </c:pt>
                  <c:pt idx="50">
                    <c:v>8</c:v>
                  </c:pt>
                  <c:pt idx="51">
                    <c:v>9</c:v>
                  </c:pt>
                  <c:pt idx="52">
                    <c:v>7</c:v>
                  </c:pt>
                  <c:pt idx="53">
                    <c:v>6</c:v>
                  </c:pt>
                  <c:pt idx="54">
                    <c:v>8</c:v>
                  </c:pt>
                  <c:pt idx="55">
                    <c:v>5</c:v>
                  </c:pt>
                  <c:pt idx="56">
                    <c:v>6</c:v>
                  </c:pt>
                  <c:pt idx="57">
                    <c:v>9</c:v>
                  </c:pt>
                  <c:pt idx="58">
                    <c:v>11</c:v>
                  </c:pt>
                  <c:pt idx="59">
                    <c:v>9</c:v>
                  </c:pt>
                  <c:pt idx="60">
                    <c:v>7</c:v>
                  </c:pt>
                  <c:pt idx="61">
                    <c:v>8</c:v>
                  </c:pt>
                  <c:pt idx="62">
                    <c:v>8</c:v>
                  </c:pt>
                  <c:pt idx="63">
                    <c:v>8</c:v>
                  </c:pt>
                  <c:pt idx="64">
                    <c:v>1</c:v>
                  </c:pt>
                  <c:pt idx="65">
                    <c:v>15</c:v>
                  </c:pt>
                  <c:pt idx="66">
                    <c:v>20</c:v>
                  </c:pt>
                  <c:pt idx="67">
                    <c:v>0</c:v>
                  </c:pt>
                </c:numCache>
              </c:numRef>
            </c:minus>
            <c:spPr>
              <a:noFill/>
              <a:ln w="12700" cap="flat" cmpd="sng" algn="ctr">
                <a:solidFill>
                  <a:schemeClr val="tx1">
                    <a:lumMod val="65000"/>
                    <a:lumOff val="35000"/>
                  </a:schemeClr>
                </a:solidFill>
                <a:round/>
              </a:ln>
              <a:effectLst/>
            </c:spPr>
          </c:errBars>
          <c:cat>
            <c:strRef>
              <c:f>'CEA Summary'!$AE$2:$AE$68</c:f>
              <c:strCache>
                <c:ptCount val="67"/>
                <c:pt idx="0">
                  <c:v>RCB</c:v>
                </c:pt>
                <c:pt idx="1">
                  <c:v>R1K</c:v>
                </c:pt>
                <c:pt idx="2">
                  <c:v>RDU</c:v>
                </c:pt>
                <c:pt idx="3">
                  <c:v>RYR</c:v>
                </c:pt>
                <c:pt idx="4">
                  <c:v>RM1</c:v>
                </c:pt>
                <c:pt idx="5">
                  <c:v>RTG</c:v>
                </c:pt>
                <c:pt idx="6">
                  <c:v>RNN</c:v>
                </c:pt>
                <c:pt idx="7">
                  <c:v>RRV</c:v>
                </c:pt>
                <c:pt idx="8">
                  <c:v>SG999</c:v>
                </c:pt>
                <c:pt idx="9">
                  <c:v>RJE</c:v>
                </c:pt>
                <c:pt idx="10">
                  <c:v>RWP</c:v>
                </c:pt>
                <c:pt idx="11">
                  <c:v>RVV</c:v>
                </c:pt>
                <c:pt idx="12">
                  <c:v>RWG</c:v>
                </c:pt>
                <c:pt idx="13">
                  <c:v>RJ7</c:v>
                </c:pt>
                <c:pt idx="14">
                  <c:v>SS999</c:v>
                </c:pt>
                <c:pt idx="15">
                  <c:v>RAJ</c:v>
                </c:pt>
                <c:pt idx="16">
                  <c:v>RVJ</c:v>
                </c:pt>
                <c:pt idx="17">
                  <c:v>RWH</c:v>
                </c:pt>
                <c:pt idx="18">
                  <c:v>RP5</c:v>
                </c:pt>
                <c:pt idx="19">
                  <c:v>R1H</c:v>
                </c:pt>
                <c:pt idx="20">
                  <c:v>7A4</c:v>
                </c:pt>
                <c:pt idx="21">
                  <c:v>REF</c:v>
                </c:pt>
                <c:pt idx="22">
                  <c:v>RXW</c:v>
                </c:pt>
                <c:pt idx="23">
                  <c:v>RKB</c:v>
                </c:pt>
                <c:pt idx="24">
                  <c:v>RRK</c:v>
                </c:pt>
                <c:pt idx="25">
                  <c:v>RWE</c:v>
                </c:pt>
                <c:pt idx="26">
                  <c:v>7A1</c:v>
                </c:pt>
                <c:pt idx="27">
                  <c:v>RAE</c:v>
                </c:pt>
                <c:pt idx="28">
                  <c:v>RX1</c:v>
                </c:pt>
                <c:pt idx="29">
                  <c:v>RTE</c:v>
                </c:pt>
                <c:pt idx="30">
                  <c:v>ST999</c:v>
                </c:pt>
                <c:pt idx="31">
                  <c:v>RH8</c:v>
                </c:pt>
                <c:pt idx="32">
                  <c:v>RTR</c:v>
                </c:pt>
                <c:pt idx="33">
                  <c:v>RR8</c:v>
                </c:pt>
                <c:pt idx="34">
                  <c:v>RTD</c:v>
                </c:pt>
                <c:pt idx="35">
                  <c:v>RH5</c:v>
                </c:pt>
                <c:pt idx="36">
                  <c:v>R0D</c:v>
                </c:pt>
                <c:pt idx="37">
                  <c:v>RWA</c:v>
                </c:pt>
                <c:pt idx="38">
                  <c:v>SN999</c:v>
                </c:pt>
                <c:pt idx="39">
                  <c:v>RHM</c:v>
                </c:pt>
                <c:pt idx="40">
                  <c:v>SL999</c:v>
                </c:pt>
                <c:pt idx="41">
                  <c:v>RK9</c:v>
                </c:pt>
                <c:pt idx="42">
                  <c:v>RTH</c:v>
                </c:pt>
                <c:pt idx="43">
                  <c:v>RNA</c:v>
                </c:pt>
                <c:pt idx="44">
                  <c:v>7A3</c:v>
                </c:pt>
                <c:pt idx="45">
                  <c:v>RYJ</c:v>
                </c:pt>
                <c:pt idx="46">
                  <c:v>RJR</c:v>
                </c:pt>
                <c:pt idx="47">
                  <c:v>RJZ</c:v>
                </c:pt>
                <c:pt idx="48">
                  <c:v>RDE</c:v>
                </c:pt>
                <c:pt idx="49">
                  <c:v>RC9</c:v>
                </c:pt>
                <c:pt idx="50">
                  <c:v>RNS</c:v>
                </c:pt>
                <c:pt idx="51">
                  <c:v>RM3</c:v>
                </c:pt>
                <c:pt idx="52">
                  <c:v>SH999</c:v>
                </c:pt>
                <c:pt idx="53">
                  <c:v>REM</c:v>
                </c:pt>
                <c:pt idx="54">
                  <c:v>RF4</c:v>
                </c:pt>
                <c:pt idx="55">
                  <c:v>RJ1</c:v>
                </c:pt>
                <c:pt idx="56">
                  <c:v>RAL</c:v>
                </c:pt>
                <c:pt idx="57">
                  <c:v>RHQ</c:v>
                </c:pt>
                <c:pt idx="58">
                  <c:v>ZT001</c:v>
                </c:pt>
                <c:pt idx="59">
                  <c:v>RGT</c:v>
                </c:pt>
                <c:pt idx="60">
                  <c:v>RXN</c:v>
                </c:pt>
                <c:pt idx="61">
                  <c:v>R0B</c:v>
                </c:pt>
                <c:pt idx="62">
                  <c:v>R0A</c:v>
                </c:pt>
                <c:pt idx="63">
                  <c:v>RWD</c:v>
                </c:pt>
                <c:pt idx="64">
                  <c:v>RPA</c:v>
                </c:pt>
                <c:pt idx="65">
                  <c:v>RXR</c:v>
                </c:pt>
                <c:pt idx="66">
                  <c:v>SY999</c:v>
                </c:pt>
              </c:strCache>
            </c:strRef>
          </c:cat>
          <c:val>
            <c:numRef>
              <c:f>'CEA Summary'!$AH$2:$AH$68</c:f>
              <c:numCache>
                <c:formatCode>General</c:formatCode>
                <c:ptCount val="67"/>
                <c:pt idx="0">
                  <c:v>5</c:v>
                </c:pt>
                <c:pt idx="1">
                  <c:v>6</c:v>
                </c:pt>
                <c:pt idx="2">
                  <c:v>8</c:v>
                </c:pt>
                <c:pt idx="3">
                  <c:v>9</c:v>
                </c:pt>
                <c:pt idx="4">
                  <c:v>9</c:v>
                </c:pt>
                <c:pt idx="5">
                  <c:v>9</c:v>
                </c:pt>
                <c:pt idx="6">
                  <c:v>10</c:v>
                </c:pt>
                <c:pt idx="7">
                  <c:v>10</c:v>
                </c:pt>
                <c:pt idx="8">
                  <c:v>10</c:v>
                </c:pt>
                <c:pt idx="9">
                  <c:v>10</c:v>
                </c:pt>
                <c:pt idx="10">
                  <c:v>10</c:v>
                </c:pt>
                <c:pt idx="11">
                  <c:v>10</c:v>
                </c:pt>
                <c:pt idx="12">
                  <c:v>11</c:v>
                </c:pt>
                <c:pt idx="13">
                  <c:v>11</c:v>
                </c:pt>
                <c:pt idx="14">
                  <c:v>11</c:v>
                </c:pt>
                <c:pt idx="15">
                  <c:v>11</c:v>
                </c:pt>
                <c:pt idx="16">
                  <c:v>11</c:v>
                </c:pt>
                <c:pt idx="17">
                  <c:v>11</c:v>
                </c:pt>
                <c:pt idx="18">
                  <c:v>11</c:v>
                </c:pt>
                <c:pt idx="19">
                  <c:v>12</c:v>
                </c:pt>
                <c:pt idx="20">
                  <c:v>12</c:v>
                </c:pt>
                <c:pt idx="21">
                  <c:v>12</c:v>
                </c:pt>
                <c:pt idx="22">
                  <c:v>12</c:v>
                </c:pt>
                <c:pt idx="23">
                  <c:v>12</c:v>
                </c:pt>
                <c:pt idx="24">
                  <c:v>13</c:v>
                </c:pt>
                <c:pt idx="25">
                  <c:v>13</c:v>
                </c:pt>
                <c:pt idx="26">
                  <c:v>13</c:v>
                </c:pt>
                <c:pt idx="27">
                  <c:v>13</c:v>
                </c:pt>
                <c:pt idx="28">
                  <c:v>13</c:v>
                </c:pt>
                <c:pt idx="29">
                  <c:v>13</c:v>
                </c:pt>
                <c:pt idx="30">
                  <c:v>14</c:v>
                </c:pt>
                <c:pt idx="31">
                  <c:v>14</c:v>
                </c:pt>
                <c:pt idx="32">
                  <c:v>14</c:v>
                </c:pt>
                <c:pt idx="33">
                  <c:v>14</c:v>
                </c:pt>
                <c:pt idx="34">
                  <c:v>14</c:v>
                </c:pt>
                <c:pt idx="35">
                  <c:v>14</c:v>
                </c:pt>
                <c:pt idx="36">
                  <c:v>14</c:v>
                </c:pt>
                <c:pt idx="37">
                  <c:v>14</c:v>
                </c:pt>
                <c:pt idx="38">
                  <c:v>14</c:v>
                </c:pt>
                <c:pt idx="39">
                  <c:v>15</c:v>
                </c:pt>
                <c:pt idx="40">
                  <c:v>15</c:v>
                </c:pt>
                <c:pt idx="41">
                  <c:v>15</c:v>
                </c:pt>
                <c:pt idx="42">
                  <c:v>15</c:v>
                </c:pt>
                <c:pt idx="43">
                  <c:v>16</c:v>
                </c:pt>
                <c:pt idx="44">
                  <c:v>16</c:v>
                </c:pt>
                <c:pt idx="45">
                  <c:v>16</c:v>
                </c:pt>
                <c:pt idx="46">
                  <c:v>17</c:v>
                </c:pt>
                <c:pt idx="47">
                  <c:v>17</c:v>
                </c:pt>
                <c:pt idx="48">
                  <c:v>17</c:v>
                </c:pt>
                <c:pt idx="49">
                  <c:v>18</c:v>
                </c:pt>
                <c:pt idx="50">
                  <c:v>18</c:v>
                </c:pt>
                <c:pt idx="51">
                  <c:v>18</c:v>
                </c:pt>
                <c:pt idx="52">
                  <c:v>19</c:v>
                </c:pt>
                <c:pt idx="53">
                  <c:v>19</c:v>
                </c:pt>
                <c:pt idx="54">
                  <c:v>19</c:v>
                </c:pt>
                <c:pt idx="55">
                  <c:v>19</c:v>
                </c:pt>
                <c:pt idx="56">
                  <c:v>20</c:v>
                </c:pt>
                <c:pt idx="57">
                  <c:v>20</c:v>
                </c:pt>
                <c:pt idx="58">
                  <c:v>21</c:v>
                </c:pt>
                <c:pt idx="59">
                  <c:v>21</c:v>
                </c:pt>
                <c:pt idx="60">
                  <c:v>22</c:v>
                </c:pt>
                <c:pt idx="61">
                  <c:v>22</c:v>
                </c:pt>
                <c:pt idx="62">
                  <c:v>23</c:v>
                </c:pt>
                <c:pt idx="63">
                  <c:v>24</c:v>
                </c:pt>
                <c:pt idx="64">
                  <c:v>25</c:v>
                </c:pt>
                <c:pt idx="65">
                  <c:v>27</c:v>
                </c:pt>
                <c:pt idx="66">
                  <c:v>43</c:v>
                </c:pt>
              </c:numCache>
            </c:numRef>
          </c:val>
          <c:smooth val="0"/>
          <c:extLst>
            <c:ext xmlns:c16="http://schemas.microsoft.com/office/drawing/2014/chart" uri="{C3380CC4-5D6E-409C-BE32-E72D297353CC}">
              <c16:uniqueId val="{00000000-F86B-4779-A8DB-8B96D50AAEE2}"/>
            </c:ext>
          </c:extLst>
        </c:ser>
        <c:dLbls>
          <c:showLegendKey val="0"/>
          <c:showVal val="0"/>
          <c:showCatName val="0"/>
          <c:showSerName val="0"/>
          <c:showPercent val="0"/>
          <c:showBubbleSize val="0"/>
        </c:dLbls>
        <c:marker val="1"/>
        <c:smooth val="0"/>
        <c:axId val="606186136"/>
        <c:axId val="606183840"/>
      </c:lineChart>
      <c:scatterChart>
        <c:scatterStyle val="lineMarker"/>
        <c:varyColors val="0"/>
        <c:ser>
          <c:idx val="1"/>
          <c:order val="1"/>
          <c:tx>
            <c:strRef>
              <c:f>'CEA Summary'!$B$1</c:f>
              <c:strCache>
                <c:ptCount val="1"/>
                <c:pt idx="0">
                  <c:v>Barking, Havering and Redbridge University Hospitals NHS Trust</c:v>
                </c:pt>
              </c:strCache>
            </c:strRef>
          </c:tx>
          <c:spPr>
            <a:ln w="25400" cap="rnd">
              <a:noFill/>
              <a:round/>
            </a:ln>
            <a:effectLst/>
          </c:spPr>
          <c:marker>
            <c:symbol val="circle"/>
            <c:size val="5"/>
            <c:spPr>
              <a:solidFill>
                <a:schemeClr val="accent2"/>
              </a:solidFill>
              <a:ln w="9525">
                <a:solidFill>
                  <a:schemeClr val="accent2"/>
                </a:solidFill>
              </a:ln>
              <a:effectLst/>
            </c:spPr>
          </c:marker>
          <c:errBars>
            <c:errDir val="y"/>
            <c:errBarType val="both"/>
            <c:errValType val="cust"/>
            <c:noEndCap val="1"/>
            <c:plus>
              <c:numRef>
                <c:f>'CEA Summary'!$AC$2</c:f>
                <c:numCache>
                  <c:formatCode>General</c:formatCode>
                  <c:ptCount val="1"/>
                  <c:pt idx="0">
                    <c:v>17</c:v>
                  </c:pt>
                </c:numCache>
              </c:numRef>
            </c:plus>
            <c:minus>
              <c:numRef>
                <c:f>'CEA Summary'!$AB$2</c:f>
                <c:numCache>
                  <c:formatCode>General</c:formatCode>
                  <c:ptCount val="1"/>
                  <c:pt idx="0">
                    <c:v>8</c:v>
                  </c:pt>
                </c:numCache>
              </c:numRef>
            </c:minus>
            <c:spPr>
              <a:noFill/>
              <a:ln w="9525" cap="flat" cmpd="sng" algn="ctr">
                <a:solidFill>
                  <a:srgbClr val="FF0000"/>
                </a:solidFill>
                <a:round/>
              </a:ln>
              <a:effectLst/>
            </c:spPr>
          </c:errBars>
          <c:xVal>
            <c:numRef>
              <c:f>'CEA Summary'!$AD$2</c:f>
              <c:numCache>
                <c:formatCode>General</c:formatCode>
                <c:ptCount val="1"/>
                <c:pt idx="0">
                  <c:v>55</c:v>
                </c:pt>
              </c:numCache>
            </c:numRef>
          </c:xVal>
          <c:yVal>
            <c:numRef>
              <c:f>'CEA Summary'!$AA$2</c:f>
              <c:numCache>
                <c:formatCode>General</c:formatCode>
                <c:ptCount val="1"/>
                <c:pt idx="0">
                  <c:v>19</c:v>
                </c:pt>
              </c:numCache>
            </c:numRef>
          </c:yVal>
          <c:smooth val="0"/>
          <c:extLst>
            <c:ext xmlns:c16="http://schemas.microsoft.com/office/drawing/2014/chart" uri="{C3380CC4-5D6E-409C-BE32-E72D297353CC}">
              <c16:uniqueId val="{00000001-F86B-4779-A8DB-8B96D50AAEE2}"/>
            </c:ext>
          </c:extLst>
        </c:ser>
        <c:ser>
          <c:idx val="2"/>
          <c:order val="2"/>
          <c:tx>
            <c:v>NICE</c:v>
          </c:tx>
          <c:spPr>
            <a:ln w="12700" cap="rnd">
              <a:solidFill>
                <a:srgbClr val="FF0000"/>
              </a:solidFill>
              <a:round/>
            </a:ln>
            <a:effectLst/>
          </c:spPr>
          <c:marker>
            <c:symbol val="circle"/>
            <c:size val="5"/>
            <c:spPr>
              <a:noFill/>
              <a:ln w="9525">
                <a:noFill/>
              </a:ln>
              <a:effectLst/>
            </c:spPr>
          </c:marker>
          <c:xVal>
            <c:numRef>
              <c:f>'CEA Summary'!$AG$2:$AG$70</c:f>
              <c:numCache>
                <c:formatCode>General</c:formatCode>
                <c:ptCount val="6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numCache>
            </c:numRef>
          </c:xVal>
          <c:yVal>
            <c:numRef>
              <c:f>'CEA Summary'!$AK$2:$AK$69</c:f>
              <c:numCache>
                <c:formatCode>General</c:formatCode>
                <c:ptCount val="68"/>
                <c:pt idx="0">
                  <c:v>14</c:v>
                </c:pt>
                <c:pt idx="1">
                  <c:v>14</c:v>
                </c:pt>
                <c:pt idx="2">
                  <c:v>14</c:v>
                </c:pt>
                <c:pt idx="3">
                  <c:v>14</c:v>
                </c:pt>
                <c:pt idx="4">
                  <c:v>14</c:v>
                </c:pt>
                <c:pt idx="5">
                  <c:v>14</c:v>
                </c:pt>
                <c:pt idx="6">
                  <c:v>14</c:v>
                </c:pt>
                <c:pt idx="7">
                  <c:v>14</c:v>
                </c:pt>
                <c:pt idx="8">
                  <c:v>14</c:v>
                </c:pt>
                <c:pt idx="9">
                  <c:v>14</c:v>
                </c:pt>
                <c:pt idx="10">
                  <c:v>14</c:v>
                </c:pt>
                <c:pt idx="11">
                  <c:v>14</c:v>
                </c:pt>
                <c:pt idx="12">
                  <c:v>14</c:v>
                </c:pt>
                <c:pt idx="13">
                  <c:v>14</c:v>
                </c:pt>
                <c:pt idx="14">
                  <c:v>14</c:v>
                </c:pt>
                <c:pt idx="15">
                  <c:v>14</c:v>
                </c:pt>
                <c:pt idx="16">
                  <c:v>14</c:v>
                </c:pt>
                <c:pt idx="17">
                  <c:v>14</c:v>
                </c:pt>
                <c:pt idx="18">
                  <c:v>14</c:v>
                </c:pt>
                <c:pt idx="19">
                  <c:v>14</c:v>
                </c:pt>
                <c:pt idx="20">
                  <c:v>14</c:v>
                </c:pt>
                <c:pt idx="21">
                  <c:v>14</c:v>
                </c:pt>
                <c:pt idx="22">
                  <c:v>14</c:v>
                </c:pt>
                <c:pt idx="23">
                  <c:v>14</c:v>
                </c:pt>
                <c:pt idx="24">
                  <c:v>14</c:v>
                </c:pt>
                <c:pt idx="25">
                  <c:v>14</c:v>
                </c:pt>
                <c:pt idx="26">
                  <c:v>14</c:v>
                </c:pt>
                <c:pt idx="27">
                  <c:v>14</c:v>
                </c:pt>
                <c:pt idx="28">
                  <c:v>14</c:v>
                </c:pt>
                <c:pt idx="29">
                  <c:v>14</c:v>
                </c:pt>
                <c:pt idx="30">
                  <c:v>14</c:v>
                </c:pt>
                <c:pt idx="31">
                  <c:v>14</c:v>
                </c:pt>
                <c:pt idx="32">
                  <c:v>14</c:v>
                </c:pt>
                <c:pt idx="33">
                  <c:v>14</c:v>
                </c:pt>
                <c:pt idx="34">
                  <c:v>14</c:v>
                </c:pt>
                <c:pt idx="35">
                  <c:v>14</c:v>
                </c:pt>
                <c:pt idx="36">
                  <c:v>14</c:v>
                </c:pt>
                <c:pt idx="37">
                  <c:v>14</c:v>
                </c:pt>
                <c:pt idx="38">
                  <c:v>14</c:v>
                </c:pt>
                <c:pt idx="39">
                  <c:v>14</c:v>
                </c:pt>
                <c:pt idx="40">
                  <c:v>14</c:v>
                </c:pt>
                <c:pt idx="41">
                  <c:v>14</c:v>
                </c:pt>
                <c:pt idx="42">
                  <c:v>14</c:v>
                </c:pt>
                <c:pt idx="43">
                  <c:v>14</c:v>
                </c:pt>
                <c:pt idx="44">
                  <c:v>14</c:v>
                </c:pt>
                <c:pt idx="45">
                  <c:v>14</c:v>
                </c:pt>
                <c:pt idx="46">
                  <c:v>14</c:v>
                </c:pt>
                <c:pt idx="47">
                  <c:v>14</c:v>
                </c:pt>
                <c:pt idx="48">
                  <c:v>14</c:v>
                </c:pt>
                <c:pt idx="49">
                  <c:v>14</c:v>
                </c:pt>
                <c:pt idx="50">
                  <c:v>14</c:v>
                </c:pt>
                <c:pt idx="51">
                  <c:v>14</c:v>
                </c:pt>
                <c:pt idx="52">
                  <c:v>14</c:v>
                </c:pt>
                <c:pt idx="53">
                  <c:v>14</c:v>
                </c:pt>
                <c:pt idx="54">
                  <c:v>14</c:v>
                </c:pt>
                <c:pt idx="55">
                  <c:v>14</c:v>
                </c:pt>
                <c:pt idx="56">
                  <c:v>14</c:v>
                </c:pt>
                <c:pt idx="57">
                  <c:v>14</c:v>
                </c:pt>
                <c:pt idx="58">
                  <c:v>14</c:v>
                </c:pt>
                <c:pt idx="59">
                  <c:v>14</c:v>
                </c:pt>
                <c:pt idx="60">
                  <c:v>14</c:v>
                </c:pt>
                <c:pt idx="61">
                  <c:v>14</c:v>
                </c:pt>
                <c:pt idx="62">
                  <c:v>14</c:v>
                </c:pt>
                <c:pt idx="63">
                  <c:v>14</c:v>
                </c:pt>
                <c:pt idx="64">
                  <c:v>14</c:v>
                </c:pt>
                <c:pt idx="65">
                  <c:v>14</c:v>
                </c:pt>
                <c:pt idx="66">
                  <c:v>14</c:v>
                </c:pt>
              </c:numCache>
            </c:numRef>
          </c:yVal>
          <c:smooth val="0"/>
          <c:extLst>
            <c:ext xmlns:c16="http://schemas.microsoft.com/office/drawing/2014/chart" uri="{C3380CC4-5D6E-409C-BE32-E72D297353CC}">
              <c16:uniqueId val="{00000002-F86B-4779-A8DB-8B96D50AAEE2}"/>
            </c:ext>
          </c:extLst>
        </c:ser>
        <c:dLbls>
          <c:showLegendKey val="0"/>
          <c:showVal val="0"/>
          <c:showCatName val="0"/>
          <c:showSerName val="0"/>
          <c:showPercent val="0"/>
          <c:showBubbleSize val="0"/>
        </c:dLbls>
        <c:axId val="606186136"/>
        <c:axId val="606183840"/>
      </c:scatterChart>
      <c:catAx>
        <c:axId val="606186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606183840"/>
        <c:crosses val="autoZero"/>
        <c:auto val="1"/>
        <c:lblAlgn val="ctr"/>
        <c:lblOffset val="100"/>
        <c:noMultiLvlLbl val="0"/>
      </c:catAx>
      <c:valAx>
        <c:axId val="6061838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606186136"/>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'CEA Funnel'!$C$1</c:f>
              <c:strCache>
                <c:ptCount val="1"/>
                <c:pt idx="0">
                  <c:v>Stroke/Death 30</c:v>
                </c:pt>
              </c:strCache>
            </c:strRef>
          </c:tx>
          <c:spPr>
            <a:ln w="25400" cap="rnd">
              <a:noFill/>
              <a:round/>
            </a:ln>
            <a:effectLst/>
          </c:spPr>
          <c:marker>
            <c:symbol val="circle"/>
            <c:size val="5"/>
            <c:spPr>
              <a:solidFill>
                <a:schemeClr val="tx1"/>
              </a:solidFill>
              <a:ln w="9525">
                <a:solidFill>
                  <a:schemeClr val="tx1"/>
                </a:solidFill>
              </a:ln>
              <a:effectLst/>
            </c:spPr>
          </c:marker>
          <c:xVal>
            <c:numRef>
              <c:f>'CEA Funnel'!$B$2:$B$67</c:f>
              <c:numCache>
                <c:formatCode>General</c:formatCode>
                <c:ptCount val="66"/>
                <c:pt idx="0">
                  <c:v>73</c:v>
                </c:pt>
                <c:pt idx="1">
                  <c:v>177</c:v>
                </c:pt>
                <c:pt idx="2">
                  <c:v>59</c:v>
                </c:pt>
                <c:pt idx="3">
                  <c:v>293</c:v>
                </c:pt>
                <c:pt idx="4">
                  <c:v>157</c:v>
                </c:pt>
                <c:pt idx="5">
                  <c:v>102</c:v>
                </c:pt>
                <c:pt idx="6">
                  <c:v>43</c:v>
                </c:pt>
                <c:pt idx="7">
                  <c:v>112</c:v>
                </c:pt>
                <c:pt idx="8">
                  <c:v>109</c:v>
                </c:pt>
                <c:pt idx="9">
                  <c:v>205</c:v>
                </c:pt>
                <c:pt idx="10">
                  <c:v>66</c:v>
                </c:pt>
                <c:pt idx="11">
                  <c:v>185</c:v>
                </c:pt>
                <c:pt idx="12">
                  <c:v>232</c:v>
                </c:pt>
                <c:pt idx="13">
                  <c:v>148</c:v>
                </c:pt>
                <c:pt idx="14">
                  <c:v>122</c:v>
                </c:pt>
                <c:pt idx="15">
                  <c:v>93</c:v>
                </c:pt>
                <c:pt idx="16">
                  <c:v>295</c:v>
                </c:pt>
                <c:pt idx="17">
                  <c:v>90</c:v>
                </c:pt>
                <c:pt idx="18">
                  <c:v>214</c:v>
                </c:pt>
                <c:pt idx="19">
                  <c:v>167</c:v>
                </c:pt>
                <c:pt idx="20">
                  <c:v>114</c:v>
                </c:pt>
                <c:pt idx="21">
                  <c:v>199</c:v>
                </c:pt>
                <c:pt idx="22">
                  <c:v>134</c:v>
                </c:pt>
                <c:pt idx="23">
                  <c:v>86</c:v>
                </c:pt>
                <c:pt idx="24">
                  <c:v>98</c:v>
                </c:pt>
                <c:pt idx="25">
                  <c:v>156</c:v>
                </c:pt>
                <c:pt idx="26">
                  <c:v>204</c:v>
                </c:pt>
                <c:pt idx="27">
                  <c:v>214</c:v>
                </c:pt>
                <c:pt idx="28">
                  <c:v>108</c:v>
                </c:pt>
                <c:pt idx="29">
                  <c:v>109</c:v>
                </c:pt>
                <c:pt idx="30">
                  <c:v>160</c:v>
                </c:pt>
                <c:pt idx="31">
                  <c:v>224</c:v>
                </c:pt>
                <c:pt idx="32">
                  <c:v>123</c:v>
                </c:pt>
                <c:pt idx="33">
                  <c:v>102</c:v>
                </c:pt>
                <c:pt idx="34">
                  <c:v>99</c:v>
                </c:pt>
                <c:pt idx="35">
                  <c:v>119</c:v>
                </c:pt>
                <c:pt idx="36">
                  <c:v>3</c:v>
                </c:pt>
                <c:pt idx="37">
                  <c:v>141</c:v>
                </c:pt>
                <c:pt idx="38">
                  <c:v>92</c:v>
                </c:pt>
                <c:pt idx="39">
                  <c:v>4</c:v>
                </c:pt>
                <c:pt idx="40">
                  <c:v>239</c:v>
                </c:pt>
                <c:pt idx="41">
                  <c:v>174</c:v>
                </c:pt>
                <c:pt idx="42">
                  <c:v>83</c:v>
                </c:pt>
                <c:pt idx="43">
                  <c:v>267</c:v>
                </c:pt>
                <c:pt idx="44">
                  <c:v>121</c:v>
                </c:pt>
                <c:pt idx="45">
                  <c:v>227</c:v>
                </c:pt>
                <c:pt idx="46">
                  <c:v>157</c:v>
                </c:pt>
                <c:pt idx="47">
                  <c:v>184</c:v>
                </c:pt>
                <c:pt idx="48">
                  <c:v>141</c:v>
                </c:pt>
                <c:pt idx="49">
                  <c:v>168</c:v>
                </c:pt>
                <c:pt idx="50">
                  <c:v>123</c:v>
                </c:pt>
                <c:pt idx="51">
                  <c:v>86</c:v>
                </c:pt>
                <c:pt idx="52">
                  <c:v>158</c:v>
                </c:pt>
                <c:pt idx="53">
                  <c:v>195</c:v>
                </c:pt>
                <c:pt idx="54">
                  <c:v>238</c:v>
                </c:pt>
                <c:pt idx="55">
                  <c:v>122</c:v>
                </c:pt>
                <c:pt idx="56">
                  <c:v>87</c:v>
                </c:pt>
                <c:pt idx="57">
                  <c:v>141</c:v>
                </c:pt>
                <c:pt idx="58">
                  <c:v>118</c:v>
                </c:pt>
                <c:pt idx="59">
                  <c:v>125</c:v>
                </c:pt>
                <c:pt idx="60">
                  <c:v>64</c:v>
                </c:pt>
                <c:pt idx="61">
                  <c:v>88</c:v>
                </c:pt>
                <c:pt idx="62">
                  <c:v>42</c:v>
                </c:pt>
                <c:pt idx="63">
                  <c:v>93</c:v>
                </c:pt>
                <c:pt idx="64">
                  <c:v>51</c:v>
                </c:pt>
                <c:pt idx="65">
                  <c:v>336</c:v>
                </c:pt>
              </c:numCache>
            </c:numRef>
          </c:xVal>
          <c:yVal>
            <c:numRef>
              <c:f>'CEA Funnel'!$C$2:$C$67</c:f>
              <c:numCache>
                <c:formatCode>0.0</c:formatCode>
                <c:ptCount val="66"/>
                <c:pt idx="0">
                  <c:v>0</c:v>
                </c:pt>
                <c:pt idx="1">
                  <c:v>2.4</c:v>
                </c:pt>
                <c:pt idx="2">
                  <c:v>3.6999999999999997</c:v>
                </c:pt>
                <c:pt idx="3">
                  <c:v>1.6</c:v>
                </c:pt>
                <c:pt idx="4">
                  <c:v>2.1</c:v>
                </c:pt>
                <c:pt idx="5">
                  <c:v>0</c:v>
                </c:pt>
                <c:pt idx="6">
                  <c:v>2.6</c:v>
                </c:pt>
                <c:pt idx="7">
                  <c:v>1.4000000000000001</c:v>
                </c:pt>
                <c:pt idx="8">
                  <c:v>0.89999999999999991</c:v>
                </c:pt>
                <c:pt idx="9">
                  <c:v>1.7000000000000002</c:v>
                </c:pt>
                <c:pt idx="10">
                  <c:v>3.3000000000000003</c:v>
                </c:pt>
                <c:pt idx="11">
                  <c:v>1.7999999999999998</c:v>
                </c:pt>
                <c:pt idx="12">
                  <c:v>2.8000000000000003</c:v>
                </c:pt>
                <c:pt idx="13">
                  <c:v>3.1</c:v>
                </c:pt>
                <c:pt idx="14">
                  <c:v>3</c:v>
                </c:pt>
                <c:pt idx="15">
                  <c:v>1.4000000000000001</c:v>
                </c:pt>
                <c:pt idx="16">
                  <c:v>1.3</c:v>
                </c:pt>
                <c:pt idx="17">
                  <c:v>1.3</c:v>
                </c:pt>
                <c:pt idx="18">
                  <c:v>2.4</c:v>
                </c:pt>
                <c:pt idx="19">
                  <c:v>4.8</c:v>
                </c:pt>
                <c:pt idx="20">
                  <c:v>1.9</c:v>
                </c:pt>
                <c:pt idx="21">
                  <c:v>1.6</c:v>
                </c:pt>
                <c:pt idx="22">
                  <c:v>2.5</c:v>
                </c:pt>
                <c:pt idx="23">
                  <c:v>1.2</c:v>
                </c:pt>
                <c:pt idx="24">
                  <c:v>1</c:v>
                </c:pt>
                <c:pt idx="25">
                  <c:v>3.4000000000000004</c:v>
                </c:pt>
                <c:pt idx="26">
                  <c:v>1.5</c:v>
                </c:pt>
                <c:pt idx="27">
                  <c:v>2</c:v>
                </c:pt>
                <c:pt idx="28">
                  <c:v>1</c:v>
                </c:pt>
                <c:pt idx="29">
                  <c:v>1.9</c:v>
                </c:pt>
                <c:pt idx="30">
                  <c:v>3.8</c:v>
                </c:pt>
                <c:pt idx="31">
                  <c:v>1.3</c:v>
                </c:pt>
                <c:pt idx="32">
                  <c:v>2.8000000000000003</c:v>
                </c:pt>
                <c:pt idx="33">
                  <c:v>0.89999999999999991</c:v>
                </c:pt>
                <c:pt idx="34">
                  <c:v>1</c:v>
                </c:pt>
                <c:pt idx="35">
                  <c:v>0.8</c:v>
                </c:pt>
                <c:pt idx="36">
                  <c:v>0</c:v>
                </c:pt>
                <c:pt idx="37">
                  <c:v>1.3</c:v>
                </c:pt>
                <c:pt idx="38">
                  <c:v>2.4</c:v>
                </c:pt>
                <c:pt idx="39">
                  <c:v>12.5</c:v>
                </c:pt>
                <c:pt idx="40">
                  <c:v>3.2</c:v>
                </c:pt>
                <c:pt idx="41">
                  <c:v>1.2</c:v>
                </c:pt>
                <c:pt idx="42">
                  <c:v>0</c:v>
                </c:pt>
                <c:pt idx="43">
                  <c:v>2.8000000000000003</c:v>
                </c:pt>
                <c:pt idx="44">
                  <c:v>0.70000000000000007</c:v>
                </c:pt>
                <c:pt idx="45">
                  <c:v>3.5999999999999996</c:v>
                </c:pt>
                <c:pt idx="46">
                  <c:v>1.4000000000000001</c:v>
                </c:pt>
                <c:pt idx="47">
                  <c:v>3.8</c:v>
                </c:pt>
                <c:pt idx="48">
                  <c:v>4.3</c:v>
                </c:pt>
                <c:pt idx="49">
                  <c:v>0</c:v>
                </c:pt>
                <c:pt idx="50">
                  <c:v>3</c:v>
                </c:pt>
                <c:pt idx="51">
                  <c:v>3</c:v>
                </c:pt>
                <c:pt idx="52">
                  <c:v>2.9000000000000004</c:v>
                </c:pt>
                <c:pt idx="53">
                  <c:v>2</c:v>
                </c:pt>
                <c:pt idx="54">
                  <c:v>1.0999999999999999</c:v>
                </c:pt>
                <c:pt idx="55">
                  <c:v>6.5</c:v>
                </c:pt>
                <c:pt idx="56">
                  <c:v>2.5</c:v>
                </c:pt>
                <c:pt idx="57">
                  <c:v>3.5999999999999996</c:v>
                </c:pt>
                <c:pt idx="58">
                  <c:v>3</c:v>
                </c:pt>
                <c:pt idx="59">
                  <c:v>0</c:v>
                </c:pt>
                <c:pt idx="60">
                  <c:v>0</c:v>
                </c:pt>
                <c:pt idx="61">
                  <c:v>2</c:v>
                </c:pt>
                <c:pt idx="62">
                  <c:v>0</c:v>
                </c:pt>
                <c:pt idx="63">
                  <c:v>1.0999999999999999</c:v>
                </c:pt>
                <c:pt idx="64">
                  <c:v>2.1</c:v>
                </c:pt>
                <c:pt idx="65">
                  <c:v>2.7</c:v>
                </c:pt>
              </c:numCache>
            </c:numRef>
          </c:yVal>
          <c:smooth val="0"/>
          <c:extLst>
            <c:ext xmlns:c16="http://schemas.microsoft.com/office/drawing/2014/chart" uri="{C3380CC4-5D6E-409C-BE32-E72D297353CC}">
              <c16:uniqueId val="{00000000-B88C-44A6-A196-2D3C440F0395}"/>
            </c:ext>
          </c:extLst>
        </c:ser>
        <c:ser>
          <c:idx val="1"/>
          <c:order val="1"/>
          <c:tx>
            <c:v>National Rate</c:v>
          </c:tx>
          <c:spPr>
            <a:ln w="15875" cap="rnd">
              <a:solidFill>
                <a:srgbClr val="00B050"/>
              </a:solidFill>
              <a:round/>
            </a:ln>
            <a:effectLst/>
          </c:spPr>
          <c:marker>
            <c:symbol val="none"/>
          </c:marker>
          <c:xVal>
            <c:numRef>
              <c:f>'CEA Limits'!$B$2:$B$63</c:f>
              <c:numCache>
                <c:formatCode>General</c:formatCode>
                <c:ptCount val="62"/>
                <c:pt idx="0">
                  <c:v>0</c:v>
                </c:pt>
                <c:pt idx="1">
                  <c:v>3</c:v>
                </c:pt>
                <c:pt idx="2">
                  <c:v>4</c:v>
                </c:pt>
                <c:pt idx="3">
                  <c:v>11</c:v>
                </c:pt>
                <c:pt idx="4">
                  <c:v>22</c:v>
                </c:pt>
                <c:pt idx="5">
                  <c:v>30</c:v>
                </c:pt>
                <c:pt idx="6">
                  <c:v>42</c:v>
                </c:pt>
                <c:pt idx="7">
                  <c:v>43</c:v>
                </c:pt>
                <c:pt idx="8">
                  <c:v>51</c:v>
                </c:pt>
                <c:pt idx="9">
                  <c:v>54</c:v>
                </c:pt>
                <c:pt idx="10">
                  <c:v>59</c:v>
                </c:pt>
                <c:pt idx="11">
                  <c:v>64</c:v>
                </c:pt>
                <c:pt idx="12">
                  <c:v>66</c:v>
                </c:pt>
                <c:pt idx="13">
                  <c:v>73</c:v>
                </c:pt>
                <c:pt idx="14">
                  <c:v>83</c:v>
                </c:pt>
                <c:pt idx="15">
                  <c:v>86</c:v>
                </c:pt>
                <c:pt idx="16">
                  <c:v>87</c:v>
                </c:pt>
                <c:pt idx="17">
                  <c:v>88</c:v>
                </c:pt>
                <c:pt idx="18">
                  <c:v>90</c:v>
                </c:pt>
                <c:pt idx="19">
                  <c:v>92</c:v>
                </c:pt>
                <c:pt idx="20">
                  <c:v>93</c:v>
                </c:pt>
                <c:pt idx="21">
                  <c:v>98</c:v>
                </c:pt>
                <c:pt idx="22">
                  <c:v>99</c:v>
                </c:pt>
                <c:pt idx="23">
                  <c:v>102</c:v>
                </c:pt>
                <c:pt idx="24">
                  <c:v>108</c:v>
                </c:pt>
                <c:pt idx="25">
                  <c:v>109</c:v>
                </c:pt>
                <c:pt idx="26">
                  <c:v>112</c:v>
                </c:pt>
                <c:pt idx="27">
                  <c:v>114</c:v>
                </c:pt>
                <c:pt idx="28">
                  <c:v>118</c:v>
                </c:pt>
                <c:pt idx="29">
                  <c:v>119</c:v>
                </c:pt>
                <c:pt idx="30">
                  <c:v>121</c:v>
                </c:pt>
                <c:pt idx="31">
                  <c:v>122</c:v>
                </c:pt>
                <c:pt idx="32">
                  <c:v>123</c:v>
                </c:pt>
                <c:pt idx="33">
                  <c:v>125</c:v>
                </c:pt>
                <c:pt idx="34">
                  <c:v>134</c:v>
                </c:pt>
                <c:pt idx="35">
                  <c:v>141</c:v>
                </c:pt>
                <c:pt idx="36">
                  <c:v>148</c:v>
                </c:pt>
                <c:pt idx="37">
                  <c:v>156</c:v>
                </c:pt>
                <c:pt idx="38">
                  <c:v>157</c:v>
                </c:pt>
                <c:pt idx="39">
                  <c:v>158</c:v>
                </c:pt>
                <c:pt idx="40">
                  <c:v>160</c:v>
                </c:pt>
                <c:pt idx="41">
                  <c:v>167</c:v>
                </c:pt>
                <c:pt idx="42">
                  <c:v>168</c:v>
                </c:pt>
                <c:pt idx="43">
                  <c:v>174</c:v>
                </c:pt>
                <c:pt idx="44">
                  <c:v>177</c:v>
                </c:pt>
                <c:pt idx="45">
                  <c:v>184</c:v>
                </c:pt>
                <c:pt idx="46">
                  <c:v>185</c:v>
                </c:pt>
                <c:pt idx="47">
                  <c:v>195</c:v>
                </c:pt>
                <c:pt idx="48">
                  <c:v>199</c:v>
                </c:pt>
                <c:pt idx="49">
                  <c:v>204</c:v>
                </c:pt>
                <c:pt idx="50">
                  <c:v>205</c:v>
                </c:pt>
                <c:pt idx="51">
                  <c:v>214</c:v>
                </c:pt>
                <c:pt idx="52">
                  <c:v>224</c:v>
                </c:pt>
                <c:pt idx="53">
                  <c:v>227</c:v>
                </c:pt>
                <c:pt idx="54">
                  <c:v>232</c:v>
                </c:pt>
                <c:pt idx="55">
                  <c:v>238</c:v>
                </c:pt>
                <c:pt idx="56">
                  <c:v>239</c:v>
                </c:pt>
                <c:pt idx="57">
                  <c:v>267</c:v>
                </c:pt>
                <c:pt idx="58">
                  <c:v>293</c:v>
                </c:pt>
                <c:pt idx="59">
                  <c:v>295</c:v>
                </c:pt>
                <c:pt idx="60">
                  <c:v>336</c:v>
                </c:pt>
                <c:pt idx="61">
                  <c:v>350</c:v>
                </c:pt>
              </c:numCache>
            </c:numRef>
          </c:xVal>
          <c:yVal>
            <c:numRef>
              <c:f>'CEA Limits'!$D$2:$D$63</c:f>
              <c:numCache>
                <c:formatCode>General</c:formatCode>
                <c:ptCount val="62"/>
                <c:pt idx="0">
                  <c:v>2.2000000000000002</c:v>
                </c:pt>
                <c:pt idx="1">
                  <c:v>2.2000000000000002</c:v>
                </c:pt>
                <c:pt idx="2">
                  <c:v>2.2000000000000002</c:v>
                </c:pt>
                <c:pt idx="3">
                  <c:v>2.2000000000000002</c:v>
                </c:pt>
                <c:pt idx="4">
                  <c:v>2.2000000000000002</c:v>
                </c:pt>
                <c:pt idx="5">
                  <c:v>2.2000000000000002</c:v>
                </c:pt>
                <c:pt idx="6">
                  <c:v>2.2000000000000002</c:v>
                </c:pt>
                <c:pt idx="7">
                  <c:v>2.2000000000000002</c:v>
                </c:pt>
                <c:pt idx="8">
                  <c:v>2.2000000000000002</c:v>
                </c:pt>
                <c:pt idx="9">
                  <c:v>2.2000000000000002</c:v>
                </c:pt>
                <c:pt idx="10">
                  <c:v>2.2000000000000002</c:v>
                </c:pt>
                <c:pt idx="11">
                  <c:v>2.2000000000000002</c:v>
                </c:pt>
                <c:pt idx="12">
                  <c:v>2.2000000000000002</c:v>
                </c:pt>
                <c:pt idx="13">
                  <c:v>2.2000000000000002</c:v>
                </c:pt>
                <c:pt idx="14">
                  <c:v>2.2000000000000002</c:v>
                </c:pt>
                <c:pt idx="15">
                  <c:v>2.2000000000000002</c:v>
                </c:pt>
                <c:pt idx="16">
                  <c:v>2.2000000000000002</c:v>
                </c:pt>
                <c:pt idx="17">
                  <c:v>2.2000000000000002</c:v>
                </c:pt>
                <c:pt idx="18">
                  <c:v>2.2000000000000002</c:v>
                </c:pt>
                <c:pt idx="19">
                  <c:v>2.2000000000000002</c:v>
                </c:pt>
                <c:pt idx="20">
                  <c:v>2.2000000000000002</c:v>
                </c:pt>
                <c:pt idx="21">
                  <c:v>2.2000000000000002</c:v>
                </c:pt>
                <c:pt idx="22">
                  <c:v>2.2000000000000002</c:v>
                </c:pt>
                <c:pt idx="23">
                  <c:v>2.2000000000000002</c:v>
                </c:pt>
                <c:pt idx="24">
                  <c:v>2.2000000000000002</c:v>
                </c:pt>
                <c:pt idx="25">
                  <c:v>2.2000000000000002</c:v>
                </c:pt>
                <c:pt idx="26">
                  <c:v>2.2000000000000002</c:v>
                </c:pt>
                <c:pt idx="27">
                  <c:v>2.2000000000000002</c:v>
                </c:pt>
                <c:pt idx="28">
                  <c:v>2.2000000000000002</c:v>
                </c:pt>
                <c:pt idx="29">
                  <c:v>2.2000000000000002</c:v>
                </c:pt>
                <c:pt idx="30">
                  <c:v>2.2000000000000002</c:v>
                </c:pt>
                <c:pt idx="31">
                  <c:v>2.2000000000000002</c:v>
                </c:pt>
                <c:pt idx="32">
                  <c:v>2.2000000000000002</c:v>
                </c:pt>
                <c:pt idx="33">
                  <c:v>2.2000000000000002</c:v>
                </c:pt>
                <c:pt idx="34">
                  <c:v>2.2000000000000002</c:v>
                </c:pt>
                <c:pt idx="35">
                  <c:v>2.2000000000000002</c:v>
                </c:pt>
                <c:pt idx="36">
                  <c:v>2.2000000000000002</c:v>
                </c:pt>
                <c:pt idx="37">
                  <c:v>2.2000000000000002</c:v>
                </c:pt>
                <c:pt idx="38">
                  <c:v>2.2000000000000002</c:v>
                </c:pt>
                <c:pt idx="39">
                  <c:v>2.2000000000000002</c:v>
                </c:pt>
                <c:pt idx="40">
                  <c:v>2.2000000000000002</c:v>
                </c:pt>
                <c:pt idx="41">
                  <c:v>2.2000000000000002</c:v>
                </c:pt>
                <c:pt idx="42">
                  <c:v>2.2000000000000002</c:v>
                </c:pt>
                <c:pt idx="43">
                  <c:v>2.2000000000000002</c:v>
                </c:pt>
                <c:pt idx="44">
                  <c:v>2.2000000000000002</c:v>
                </c:pt>
                <c:pt idx="45">
                  <c:v>2.2000000000000002</c:v>
                </c:pt>
                <c:pt idx="46">
                  <c:v>2.2000000000000002</c:v>
                </c:pt>
                <c:pt idx="47">
                  <c:v>2.2000000000000002</c:v>
                </c:pt>
                <c:pt idx="48">
                  <c:v>2.2000000000000002</c:v>
                </c:pt>
                <c:pt idx="49">
                  <c:v>2.2000000000000002</c:v>
                </c:pt>
                <c:pt idx="50">
                  <c:v>2.2000000000000002</c:v>
                </c:pt>
                <c:pt idx="51">
                  <c:v>2.2000000000000002</c:v>
                </c:pt>
                <c:pt idx="52">
                  <c:v>2.2000000000000002</c:v>
                </c:pt>
                <c:pt idx="53">
                  <c:v>2.2000000000000002</c:v>
                </c:pt>
                <c:pt idx="54">
                  <c:v>2.2000000000000002</c:v>
                </c:pt>
                <c:pt idx="55">
                  <c:v>2.2000000000000002</c:v>
                </c:pt>
                <c:pt idx="56">
                  <c:v>2.2000000000000002</c:v>
                </c:pt>
                <c:pt idx="57">
                  <c:v>2.2000000000000002</c:v>
                </c:pt>
                <c:pt idx="58">
                  <c:v>2.2000000000000002</c:v>
                </c:pt>
                <c:pt idx="59">
                  <c:v>2.2000000000000002</c:v>
                </c:pt>
                <c:pt idx="60">
                  <c:v>2.2000000000000002</c:v>
                </c:pt>
                <c:pt idx="61">
                  <c:v>2.2000000000000002</c:v>
                </c:pt>
              </c:numCache>
            </c:numRef>
          </c:yVal>
          <c:smooth val="0"/>
          <c:extLst>
            <c:ext xmlns:c16="http://schemas.microsoft.com/office/drawing/2014/chart" uri="{C3380CC4-5D6E-409C-BE32-E72D297353CC}">
              <c16:uniqueId val="{00000001-B88C-44A6-A196-2D3C440F0395}"/>
            </c:ext>
          </c:extLst>
        </c:ser>
        <c:ser>
          <c:idx val="2"/>
          <c:order val="2"/>
          <c:tx>
            <c:v>Upper 99.8 Funnel Limits</c:v>
          </c:tx>
          <c:spPr>
            <a:ln w="19050" cap="rnd">
              <a:solidFill>
                <a:srgbClr val="0070C0"/>
              </a:solidFill>
              <a:prstDash val="sysDash"/>
              <a:round/>
            </a:ln>
            <a:effectLst/>
          </c:spPr>
          <c:marker>
            <c:symbol val="none"/>
          </c:marker>
          <c:xVal>
            <c:numRef>
              <c:f>'CEA Limits'!$B$2:$B$63</c:f>
              <c:numCache>
                <c:formatCode>General</c:formatCode>
                <c:ptCount val="62"/>
                <c:pt idx="0">
                  <c:v>0</c:v>
                </c:pt>
                <c:pt idx="1">
                  <c:v>3</c:v>
                </c:pt>
                <c:pt idx="2">
                  <c:v>4</c:v>
                </c:pt>
                <c:pt idx="3">
                  <c:v>11</c:v>
                </c:pt>
                <c:pt idx="4">
                  <c:v>22</c:v>
                </c:pt>
                <c:pt idx="5">
                  <c:v>30</c:v>
                </c:pt>
                <c:pt idx="6">
                  <c:v>42</c:v>
                </c:pt>
                <c:pt idx="7">
                  <c:v>43</c:v>
                </c:pt>
                <c:pt idx="8">
                  <c:v>51</c:v>
                </c:pt>
                <c:pt idx="9">
                  <c:v>54</c:v>
                </c:pt>
                <c:pt idx="10">
                  <c:v>59</c:v>
                </c:pt>
                <c:pt idx="11">
                  <c:v>64</c:v>
                </c:pt>
                <c:pt idx="12">
                  <c:v>66</c:v>
                </c:pt>
                <c:pt idx="13">
                  <c:v>73</c:v>
                </c:pt>
                <c:pt idx="14">
                  <c:v>83</c:v>
                </c:pt>
                <c:pt idx="15">
                  <c:v>86</c:v>
                </c:pt>
                <c:pt idx="16">
                  <c:v>87</c:v>
                </c:pt>
                <c:pt idx="17">
                  <c:v>88</c:v>
                </c:pt>
                <c:pt idx="18">
                  <c:v>90</c:v>
                </c:pt>
                <c:pt idx="19">
                  <c:v>92</c:v>
                </c:pt>
                <c:pt idx="20">
                  <c:v>93</c:v>
                </c:pt>
                <c:pt idx="21">
                  <c:v>98</c:v>
                </c:pt>
                <c:pt idx="22">
                  <c:v>99</c:v>
                </c:pt>
                <c:pt idx="23">
                  <c:v>102</c:v>
                </c:pt>
                <c:pt idx="24">
                  <c:v>108</c:v>
                </c:pt>
                <c:pt idx="25">
                  <c:v>109</c:v>
                </c:pt>
                <c:pt idx="26">
                  <c:v>112</c:v>
                </c:pt>
                <c:pt idx="27">
                  <c:v>114</c:v>
                </c:pt>
                <c:pt idx="28">
                  <c:v>118</c:v>
                </c:pt>
                <c:pt idx="29">
                  <c:v>119</c:v>
                </c:pt>
                <c:pt idx="30">
                  <c:v>121</c:v>
                </c:pt>
                <c:pt idx="31">
                  <c:v>122</c:v>
                </c:pt>
                <c:pt idx="32">
                  <c:v>123</c:v>
                </c:pt>
                <c:pt idx="33">
                  <c:v>125</c:v>
                </c:pt>
                <c:pt idx="34">
                  <c:v>134</c:v>
                </c:pt>
                <c:pt idx="35">
                  <c:v>141</c:v>
                </c:pt>
                <c:pt idx="36">
                  <c:v>148</c:v>
                </c:pt>
                <c:pt idx="37">
                  <c:v>156</c:v>
                </c:pt>
                <c:pt idx="38">
                  <c:v>157</c:v>
                </c:pt>
                <c:pt idx="39">
                  <c:v>158</c:v>
                </c:pt>
                <c:pt idx="40">
                  <c:v>160</c:v>
                </c:pt>
                <c:pt idx="41">
                  <c:v>167</c:v>
                </c:pt>
                <c:pt idx="42">
                  <c:v>168</c:v>
                </c:pt>
                <c:pt idx="43">
                  <c:v>174</c:v>
                </c:pt>
                <c:pt idx="44">
                  <c:v>177</c:v>
                </c:pt>
                <c:pt idx="45">
                  <c:v>184</c:v>
                </c:pt>
                <c:pt idx="46">
                  <c:v>185</c:v>
                </c:pt>
                <c:pt idx="47">
                  <c:v>195</c:v>
                </c:pt>
                <c:pt idx="48">
                  <c:v>199</c:v>
                </c:pt>
                <c:pt idx="49">
                  <c:v>204</c:v>
                </c:pt>
                <c:pt idx="50">
                  <c:v>205</c:v>
                </c:pt>
                <c:pt idx="51">
                  <c:v>214</c:v>
                </c:pt>
                <c:pt idx="52">
                  <c:v>224</c:v>
                </c:pt>
                <c:pt idx="53">
                  <c:v>227</c:v>
                </c:pt>
                <c:pt idx="54">
                  <c:v>232</c:v>
                </c:pt>
                <c:pt idx="55">
                  <c:v>238</c:v>
                </c:pt>
                <c:pt idx="56">
                  <c:v>239</c:v>
                </c:pt>
                <c:pt idx="57">
                  <c:v>267</c:v>
                </c:pt>
                <c:pt idx="58">
                  <c:v>293</c:v>
                </c:pt>
                <c:pt idx="59">
                  <c:v>295</c:v>
                </c:pt>
                <c:pt idx="60">
                  <c:v>336</c:v>
                </c:pt>
                <c:pt idx="61">
                  <c:v>350</c:v>
                </c:pt>
              </c:numCache>
            </c:numRef>
          </c:xVal>
          <c:yVal>
            <c:numRef>
              <c:f>'CEA Limits'!$C$2:$C$63</c:f>
              <c:numCache>
                <c:formatCode>General</c:formatCode>
                <c:ptCount val="62"/>
                <c:pt idx="0">
                  <c:v>60</c:v>
                </c:pt>
                <c:pt idx="1">
                  <c:v>76.183499999999995</c:v>
                </c:pt>
                <c:pt idx="2">
                  <c:v>66.148070000000004</c:v>
                </c:pt>
                <c:pt idx="3">
                  <c:v>30.37518</c:v>
                </c:pt>
                <c:pt idx="4">
                  <c:v>18.972989999999999</c:v>
                </c:pt>
                <c:pt idx="5">
                  <c:v>16.123660000000001</c:v>
                </c:pt>
                <c:pt idx="6">
                  <c:v>13.349539999999999</c:v>
                </c:pt>
                <c:pt idx="7">
                  <c:v>13.173109999999999</c:v>
                </c:pt>
                <c:pt idx="8">
                  <c:v>11.679029999999999</c:v>
                </c:pt>
                <c:pt idx="9">
                  <c:v>11.329409999999999</c:v>
                </c:pt>
                <c:pt idx="10">
                  <c:v>11.05048</c:v>
                </c:pt>
                <c:pt idx="11">
                  <c:v>10.56912</c:v>
                </c:pt>
                <c:pt idx="12">
                  <c:v>10.35703</c:v>
                </c:pt>
                <c:pt idx="13">
                  <c:v>9.6882780000000004</c:v>
                </c:pt>
                <c:pt idx="14">
                  <c:v>9.2745149999999992</c:v>
                </c:pt>
                <c:pt idx="15">
                  <c:v>9.0791719999999998</c:v>
                </c:pt>
                <c:pt idx="16">
                  <c:v>9.0115309999999997</c:v>
                </c:pt>
                <c:pt idx="17">
                  <c:v>8.9430999999999994</c:v>
                </c:pt>
                <c:pt idx="18">
                  <c:v>8.8047620000000002</c:v>
                </c:pt>
                <c:pt idx="19">
                  <c:v>8.6656589999999998</c:v>
                </c:pt>
                <c:pt idx="20">
                  <c:v>8.5961870000000005</c:v>
                </c:pt>
                <c:pt idx="21">
                  <c:v>8.5212780000000006</c:v>
                </c:pt>
                <c:pt idx="22">
                  <c:v>8.4954249999999991</c:v>
                </c:pt>
                <c:pt idx="23">
                  <c:v>8.3982930000000007</c:v>
                </c:pt>
                <c:pt idx="24">
                  <c:v>8.1475019999999994</c:v>
                </c:pt>
                <c:pt idx="25">
                  <c:v>8.1013579999999994</c:v>
                </c:pt>
                <c:pt idx="26">
                  <c:v>7.958977</c:v>
                </c:pt>
                <c:pt idx="27">
                  <c:v>7.861993</c:v>
                </c:pt>
                <c:pt idx="28">
                  <c:v>7.7718769999999999</c:v>
                </c:pt>
                <c:pt idx="29">
                  <c:v>7.762213</c:v>
                </c:pt>
                <c:pt idx="30">
                  <c:v>7.7333930000000004</c:v>
                </c:pt>
                <c:pt idx="31">
                  <c:v>7.7148859999999999</c:v>
                </c:pt>
                <c:pt idx="32">
                  <c:v>7.6940309999999998</c:v>
                </c:pt>
                <c:pt idx="33">
                  <c:v>7.6462529999999997</c:v>
                </c:pt>
                <c:pt idx="34">
                  <c:v>7.3670559999999998</c:v>
                </c:pt>
                <c:pt idx="35">
                  <c:v>7.1753470000000004</c:v>
                </c:pt>
                <c:pt idx="36">
                  <c:v>7.0955519999999996</c:v>
                </c:pt>
                <c:pt idx="37">
                  <c:v>6.9212150000000001</c:v>
                </c:pt>
                <c:pt idx="38">
                  <c:v>6.8959190000000001</c:v>
                </c:pt>
                <c:pt idx="39">
                  <c:v>6.8701030000000003</c:v>
                </c:pt>
                <c:pt idx="40">
                  <c:v>6.8171489999999997</c:v>
                </c:pt>
                <c:pt idx="41">
                  <c:v>6.7006490000000003</c:v>
                </c:pt>
                <c:pt idx="42">
                  <c:v>6.6946770000000004</c:v>
                </c:pt>
                <c:pt idx="43">
                  <c:v>6.6292999999999997</c:v>
                </c:pt>
                <c:pt idx="44">
                  <c:v>6.582287</c:v>
                </c:pt>
                <c:pt idx="45">
                  <c:v>6.4495430000000002</c:v>
                </c:pt>
                <c:pt idx="46">
                  <c:v>6.4287409999999996</c:v>
                </c:pt>
                <c:pt idx="47">
                  <c:v>6.3117419999999997</c:v>
                </c:pt>
                <c:pt idx="48">
                  <c:v>6.2766489999999999</c:v>
                </c:pt>
                <c:pt idx="49">
                  <c:v>6.2147769999999998</c:v>
                </c:pt>
                <c:pt idx="50">
                  <c:v>6.2005679999999996</c:v>
                </c:pt>
                <c:pt idx="51">
                  <c:v>6.0543990000000001</c:v>
                </c:pt>
                <c:pt idx="52">
                  <c:v>5.9888050000000002</c:v>
                </c:pt>
                <c:pt idx="53">
                  <c:v>5.9635949999999998</c:v>
                </c:pt>
                <c:pt idx="54">
                  <c:v>5.9101809999999997</c:v>
                </c:pt>
                <c:pt idx="55">
                  <c:v>5.8326380000000002</c:v>
                </c:pt>
                <c:pt idx="56">
                  <c:v>5.8186739999999997</c:v>
                </c:pt>
                <c:pt idx="57">
                  <c:v>5.5853729999999997</c:v>
                </c:pt>
                <c:pt idx="58">
                  <c:v>5.41127</c:v>
                </c:pt>
                <c:pt idx="59">
                  <c:v>5.3915509999999998</c:v>
                </c:pt>
                <c:pt idx="60">
                  <c:v>5.168857</c:v>
                </c:pt>
                <c:pt idx="61">
                  <c:v>5.0927499999999997</c:v>
                </c:pt>
              </c:numCache>
            </c:numRef>
          </c:yVal>
          <c:smooth val="0"/>
          <c:extLst>
            <c:ext xmlns:c16="http://schemas.microsoft.com/office/drawing/2014/chart" uri="{C3380CC4-5D6E-409C-BE32-E72D297353CC}">
              <c16:uniqueId val="{00000002-B88C-44A6-A196-2D3C440F0395}"/>
            </c:ext>
          </c:extLst>
        </c:ser>
        <c:ser>
          <c:idx val="3"/>
          <c:order val="3"/>
          <c:tx>
            <c:strRef>
              <c:f>'CEA Summary'!$B$1</c:f>
              <c:strCache>
                <c:ptCount val="1"/>
                <c:pt idx="0">
                  <c:v>Barking, Havering and Redbridge University Hospitals NHS Trust</c:v>
                </c:pt>
              </c:strCache>
            </c:strRef>
          </c:tx>
          <c:spPr>
            <a:ln w="25400" cap="rnd">
              <a:noFill/>
              <a:round/>
            </a:ln>
            <a:effectLst/>
          </c:spPr>
          <c:marker>
            <c:symbol val="circle"/>
            <c:size val="5"/>
            <c:spPr>
              <a:solidFill>
                <a:srgbClr val="FF0000"/>
              </a:solidFill>
              <a:ln w="12700">
                <a:solidFill>
                  <a:srgbClr val="FF0000"/>
                </a:solidFill>
              </a:ln>
              <a:effectLst/>
            </c:spPr>
          </c:marker>
          <c:xVal>
            <c:numRef>
              <c:f>'CEA Summary'!$AL$2</c:f>
              <c:numCache>
                <c:formatCode>General</c:formatCode>
                <c:ptCount val="1"/>
                <c:pt idx="0">
                  <c:v>90</c:v>
                </c:pt>
              </c:numCache>
            </c:numRef>
          </c:xVal>
          <c:yVal>
            <c:numRef>
              <c:f>'CEA Summary'!$AM$2</c:f>
              <c:numCache>
                <c:formatCode>General</c:formatCode>
                <c:ptCount val="1"/>
                <c:pt idx="0">
                  <c:v>1.3</c:v>
                </c:pt>
              </c:numCache>
            </c:numRef>
          </c:yVal>
          <c:smooth val="0"/>
          <c:extLst>
            <c:ext xmlns:c16="http://schemas.microsoft.com/office/drawing/2014/chart" uri="{C3380CC4-5D6E-409C-BE32-E72D297353CC}">
              <c16:uniqueId val="{00000003-B88C-44A6-A196-2D3C440F0395}"/>
            </c:ext>
          </c:extLst>
        </c:ser>
        <c:ser>
          <c:idx val="4"/>
          <c:order val="4"/>
          <c:tx>
            <c:v>Upper 95 Funnel Limits</c:v>
          </c:tx>
          <c:spPr>
            <a:ln w="15875" cap="rnd">
              <a:solidFill>
                <a:schemeClr val="accent2">
                  <a:lumMod val="40000"/>
                  <a:lumOff val="60000"/>
                </a:schemeClr>
              </a:solidFill>
              <a:prstDash val="dash"/>
              <a:round/>
            </a:ln>
            <a:effectLst/>
          </c:spPr>
          <c:marker>
            <c:symbol val="none"/>
          </c:marker>
          <c:xVal>
            <c:numRef>
              <c:f>'CEA Limits'!$B$2:$B$63</c:f>
              <c:numCache>
                <c:formatCode>General</c:formatCode>
                <c:ptCount val="62"/>
                <c:pt idx="0">
                  <c:v>0</c:v>
                </c:pt>
                <c:pt idx="1">
                  <c:v>3</c:v>
                </c:pt>
                <c:pt idx="2">
                  <c:v>4</c:v>
                </c:pt>
                <c:pt idx="3">
                  <c:v>11</c:v>
                </c:pt>
                <c:pt idx="4">
                  <c:v>22</c:v>
                </c:pt>
                <c:pt idx="5">
                  <c:v>30</c:v>
                </c:pt>
                <c:pt idx="6">
                  <c:v>42</c:v>
                </c:pt>
                <c:pt idx="7">
                  <c:v>43</c:v>
                </c:pt>
                <c:pt idx="8">
                  <c:v>51</c:v>
                </c:pt>
                <c:pt idx="9">
                  <c:v>54</c:v>
                </c:pt>
                <c:pt idx="10">
                  <c:v>59</c:v>
                </c:pt>
                <c:pt idx="11">
                  <c:v>64</c:v>
                </c:pt>
                <c:pt idx="12">
                  <c:v>66</c:v>
                </c:pt>
                <c:pt idx="13">
                  <c:v>73</c:v>
                </c:pt>
                <c:pt idx="14">
                  <c:v>83</c:v>
                </c:pt>
                <c:pt idx="15">
                  <c:v>86</c:v>
                </c:pt>
                <c:pt idx="16">
                  <c:v>87</c:v>
                </c:pt>
                <c:pt idx="17">
                  <c:v>88</c:v>
                </c:pt>
                <c:pt idx="18">
                  <c:v>90</c:v>
                </c:pt>
                <c:pt idx="19">
                  <c:v>92</c:v>
                </c:pt>
                <c:pt idx="20">
                  <c:v>93</c:v>
                </c:pt>
                <c:pt idx="21">
                  <c:v>98</c:v>
                </c:pt>
                <c:pt idx="22">
                  <c:v>99</c:v>
                </c:pt>
                <c:pt idx="23">
                  <c:v>102</c:v>
                </c:pt>
                <c:pt idx="24">
                  <c:v>108</c:v>
                </c:pt>
                <c:pt idx="25">
                  <c:v>109</c:v>
                </c:pt>
                <c:pt idx="26">
                  <c:v>112</c:v>
                </c:pt>
                <c:pt idx="27">
                  <c:v>114</c:v>
                </c:pt>
                <c:pt idx="28">
                  <c:v>118</c:v>
                </c:pt>
                <c:pt idx="29">
                  <c:v>119</c:v>
                </c:pt>
                <c:pt idx="30">
                  <c:v>121</c:v>
                </c:pt>
                <c:pt idx="31">
                  <c:v>122</c:v>
                </c:pt>
                <c:pt idx="32">
                  <c:v>123</c:v>
                </c:pt>
                <c:pt idx="33">
                  <c:v>125</c:v>
                </c:pt>
                <c:pt idx="34">
                  <c:v>134</c:v>
                </c:pt>
                <c:pt idx="35">
                  <c:v>141</c:v>
                </c:pt>
                <c:pt idx="36">
                  <c:v>148</c:v>
                </c:pt>
                <c:pt idx="37">
                  <c:v>156</c:v>
                </c:pt>
                <c:pt idx="38">
                  <c:v>157</c:v>
                </c:pt>
                <c:pt idx="39">
                  <c:v>158</c:v>
                </c:pt>
                <c:pt idx="40">
                  <c:v>160</c:v>
                </c:pt>
                <c:pt idx="41">
                  <c:v>167</c:v>
                </c:pt>
                <c:pt idx="42">
                  <c:v>168</c:v>
                </c:pt>
                <c:pt idx="43">
                  <c:v>174</c:v>
                </c:pt>
                <c:pt idx="44">
                  <c:v>177</c:v>
                </c:pt>
                <c:pt idx="45">
                  <c:v>184</c:v>
                </c:pt>
                <c:pt idx="46">
                  <c:v>185</c:v>
                </c:pt>
                <c:pt idx="47">
                  <c:v>195</c:v>
                </c:pt>
                <c:pt idx="48">
                  <c:v>199</c:v>
                </c:pt>
                <c:pt idx="49">
                  <c:v>204</c:v>
                </c:pt>
                <c:pt idx="50">
                  <c:v>205</c:v>
                </c:pt>
                <c:pt idx="51">
                  <c:v>214</c:v>
                </c:pt>
                <c:pt idx="52">
                  <c:v>224</c:v>
                </c:pt>
                <c:pt idx="53">
                  <c:v>227</c:v>
                </c:pt>
                <c:pt idx="54">
                  <c:v>232</c:v>
                </c:pt>
                <c:pt idx="55">
                  <c:v>238</c:v>
                </c:pt>
                <c:pt idx="56">
                  <c:v>239</c:v>
                </c:pt>
                <c:pt idx="57">
                  <c:v>267</c:v>
                </c:pt>
                <c:pt idx="58">
                  <c:v>293</c:v>
                </c:pt>
                <c:pt idx="59">
                  <c:v>295</c:v>
                </c:pt>
                <c:pt idx="60">
                  <c:v>336</c:v>
                </c:pt>
                <c:pt idx="61">
                  <c:v>350</c:v>
                </c:pt>
              </c:numCache>
            </c:numRef>
          </c:xVal>
          <c:yVal>
            <c:numRef>
              <c:f>'CEA Limits'!$E$2:$E$63</c:f>
              <c:numCache>
                <c:formatCode>General</c:formatCode>
                <c:ptCount val="62"/>
                <c:pt idx="0">
                  <c:v>58</c:v>
                </c:pt>
                <c:pt idx="1">
                  <c:v>54.05247</c:v>
                </c:pt>
                <c:pt idx="2">
                  <c:v>43.163330000000002</c:v>
                </c:pt>
                <c:pt idx="3">
                  <c:v>18.077000000000002</c:v>
                </c:pt>
                <c:pt idx="4">
                  <c:v>12.76923</c:v>
                </c:pt>
                <c:pt idx="5">
                  <c:v>10.274559999999999</c:v>
                </c:pt>
                <c:pt idx="6">
                  <c:v>8.9489099999999997</c:v>
                </c:pt>
                <c:pt idx="7">
                  <c:v>8.8164149999999992</c:v>
                </c:pt>
                <c:pt idx="8">
                  <c:v>7.8375430000000001</c:v>
                </c:pt>
                <c:pt idx="9">
                  <c:v>7.7875540000000001</c:v>
                </c:pt>
                <c:pt idx="10">
                  <c:v>7.5888619999999998</c:v>
                </c:pt>
                <c:pt idx="11">
                  <c:v>7.3087650000000002</c:v>
                </c:pt>
                <c:pt idx="12">
                  <c:v>7.1877219999999999</c:v>
                </c:pt>
                <c:pt idx="13">
                  <c:v>6.7592480000000004</c:v>
                </c:pt>
                <c:pt idx="14">
                  <c:v>6.4946729999999997</c:v>
                </c:pt>
                <c:pt idx="15">
                  <c:v>6.4159420000000003</c:v>
                </c:pt>
                <c:pt idx="16">
                  <c:v>6.3865100000000004</c:v>
                </c:pt>
                <c:pt idx="17">
                  <c:v>6.3558269999999997</c:v>
                </c:pt>
                <c:pt idx="18">
                  <c:v>6.2913800000000002</c:v>
                </c:pt>
                <c:pt idx="19">
                  <c:v>6.2237840000000002</c:v>
                </c:pt>
                <c:pt idx="20">
                  <c:v>6.1891100000000003</c:v>
                </c:pt>
                <c:pt idx="21">
                  <c:v>6.0107350000000004</c:v>
                </c:pt>
                <c:pt idx="22">
                  <c:v>5.9745730000000004</c:v>
                </c:pt>
                <c:pt idx="23">
                  <c:v>5.866123</c:v>
                </c:pt>
                <c:pt idx="24">
                  <c:v>5.8104300000000002</c:v>
                </c:pt>
                <c:pt idx="25">
                  <c:v>5.7990219999999999</c:v>
                </c:pt>
                <c:pt idx="26">
                  <c:v>5.756291</c:v>
                </c:pt>
                <c:pt idx="27">
                  <c:v>5.72201</c:v>
                </c:pt>
                <c:pt idx="28">
                  <c:v>5.6433059999999999</c:v>
                </c:pt>
                <c:pt idx="29">
                  <c:v>5.622007</c:v>
                </c:pt>
                <c:pt idx="30">
                  <c:v>5.5779459999999998</c:v>
                </c:pt>
                <c:pt idx="31">
                  <c:v>5.5552999999999999</c:v>
                </c:pt>
                <c:pt idx="32">
                  <c:v>5.5323130000000003</c:v>
                </c:pt>
                <c:pt idx="33">
                  <c:v>5.4855</c:v>
                </c:pt>
                <c:pt idx="34">
                  <c:v>5.3325259999999997</c:v>
                </c:pt>
                <c:pt idx="35">
                  <c:v>5.2788700000000004</c:v>
                </c:pt>
                <c:pt idx="36">
                  <c:v>5.1874380000000002</c:v>
                </c:pt>
                <c:pt idx="37">
                  <c:v>5.058821</c:v>
                </c:pt>
                <c:pt idx="38">
                  <c:v>5.0417249999999996</c:v>
                </c:pt>
                <c:pt idx="39">
                  <c:v>5.0244819999999999</c:v>
                </c:pt>
                <c:pt idx="40">
                  <c:v>4.989636</c:v>
                </c:pt>
                <c:pt idx="41">
                  <c:v>4.9596030000000004</c:v>
                </c:pt>
                <c:pt idx="42">
                  <c:v>4.9539749999999998</c:v>
                </c:pt>
                <c:pt idx="43">
                  <c:v>4.9075629999999997</c:v>
                </c:pt>
                <c:pt idx="44">
                  <c:v>4.8779469999999998</c:v>
                </c:pt>
                <c:pt idx="45">
                  <c:v>4.7977189999999998</c:v>
                </c:pt>
                <c:pt idx="46">
                  <c:v>4.7853180000000002</c:v>
                </c:pt>
                <c:pt idx="47">
                  <c:v>4.6987220000000001</c:v>
                </c:pt>
                <c:pt idx="48">
                  <c:v>4.6849170000000004</c:v>
                </c:pt>
                <c:pt idx="49">
                  <c:v>4.6567090000000002</c:v>
                </c:pt>
                <c:pt idx="50">
                  <c:v>4.6498840000000001</c:v>
                </c:pt>
                <c:pt idx="51">
                  <c:v>4.5755020000000002</c:v>
                </c:pt>
                <c:pt idx="52">
                  <c:v>4.487247</c:v>
                </c:pt>
                <c:pt idx="53">
                  <c:v>4.4835609999999999</c:v>
                </c:pt>
                <c:pt idx="54">
                  <c:v>4.4684350000000004</c:v>
                </c:pt>
                <c:pt idx="55">
                  <c:v>4.4387600000000003</c:v>
                </c:pt>
                <c:pt idx="56">
                  <c:v>4.4328409999999998</c:v>
                </c:pt>
                <c:pt idx="57">
                  <c:v>4.2886030000000002</c:v>
                </c:pt>
                <c:pt idx="58">
                  <c:v>4.1654730000000004</c:v>
                </c:pt>
                <c:pt idx="59">
                  <c:v>4.1619159999999997</c:v>
                </c:pt>
                <c:pt idx="60">
                  <c:v>4.0233369999999997</c:v>
                </c:pt>
                <c:pt idx="61">
                  <c:v>3.9680029999999999</c:v>
                </c:pt>
              </c:numCache>
            </c:numRef>
          </c:yVal>
          <c:smooth val="0"/>
          <c:extLst>
            <c:ext xmlns:c16="http://schemas.microsoft.com/office/drawing/2014/chart" uri="{C3380CC4-5D6E-409C-BE32-E72D297353CC}">
              <c16:uniqueId val="{00000000-E829-45A9-B2D6-47DC009BE919}"/>
            </c:ext>
          </c:extLst>
        </c:ser>
        <c:dLbls>
          <c:showLegendKey val="0"/>
          <c:showVal val="0"/>
          <c:showCatName val="0"/>
          <c:showSerName val="0"/>
          <c:showPercent val="0"/>
          <c:showBubbleSize val="0"/>
        </c:dLbls>
        <c:axId val="578498000"/>
        <c:axId val="578493408"/>
      </c:scatterChart>
      <c:valAx>
        <c:axId val="578498000"/>
        <c:scaling>
          <c:orientation val="minMax"/>
          <c:max val="35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GB"/>
                  <a:t>Number of operations</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578493408"/>
        <c:crosses val="autoZero"/>
        <c:crossBetween val="midCat"/>
        <c:majorUnit val="50"/>
      </c:valAx>
      <c:valAx>
        <c:axId val="578493408"/>
        <c:scaling>
          <c:orientation val="minMax"/>
          <c:max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GB"/>
                  <a:t>% 30 day deaths/strokes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578498000"/>
        <c:crosses val="autoZero"/>
        <c:crossBetween val="midCat"/>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v>National</c:v>
          </c:tx>
          <c:spPr>
            <a:solidFill>
              <a:schemeClr val="accent1"/>
            </a:solidFill>
            <a:ln w="25400">
              <a:noFill/>
            </a:ln>
            <a:effectLst/>
          </c:spPr>
          <c:invertIfNegative val="0"/>
          <c:cat>
            <c:strRef>
              <c:f>'CEA Summary'!$F$28:$H$28</c:f>
              <c:strCache>
                <c:ptCount val="3"/>
                <c:pt idx="0">
                  <c:v>Patients referred within 7 days of symptom</c:v>
                </c:pt>
                <c:pt idx="1">
                  <c:v>Patients receiving surgery within 7 days of referral</c:v>
                </c:pt>
                <c:pt idx="2">
                  <c:v>Patients receiving surgery within 14 days of symptom</c:v>
                </c:pt>
              </c:strCache>
            </c:strRef>
          </c:cat>
          <c:val>
            <c:numRef>
              <c:f>'CEA Summary'!$F$30:$H$30</c:f>
              <c:numCache>
                <c:formatCode>0%</c:formatCode>
                <c:ptCount val="3"/>
                <c:pt idx="0">
                  <c:v>0.71</c:v>
                </c:pt>
                <c:pt idx="1">
                  <c:v>0.41</c:v>
                </c:pt>
                <c:pt idx="2">
                  <c:v>0.52</c:v>
                </c:pt>
              </c:numCache>
            </c:numRef>
          </c:val>
          <c:extLst>
            <c:ext xmlns:c16="http://schemas.microsoft.com/office/drawing/2014/chart" uri="{C3380CC4-5D6E-409C-BE32-E72D297353CC}">
              <c16:uniqueId val="{00000000-C135-4D6C-8572-5F8BFEFD4FA8}"/>
            </c:ext>
          </c:extLst>
        </c:ser>
        <c:dLbls>
          <c:showLegendKey val="0"/>
          <c:showVal val="0"/>
          <c:showCatName val="0"/>
          <c:showSerName val="0"/>
          <c:showPercent val="0"/>
          <c:showBubbleSize val="0"/>
        </c:dLbls>
        <c:gapWidth val="200"/>
        <c:axId val="406389960"/>
        <c:axId val="406391600"/>
      </c:barChart>
      <c:scatterChart>
        <c:scatterStyle val="lineMarker"/>
        <c:varyColors val="0"/>
        <c:ser>
          <c:idx val="0"/>
          <c:order val="0"/>
          <c:tx>
            <c:strRef>
              <c:f>'CEA Summary'!$B$1</c:f>
              <c:strCache>
                <c:ptCount val="1"/>
                <c:pt idx="0">
                  <c:v>Barking, Havering and Redbridge University Hospitals NHS Trust</c:v>
                </c:pt>
              </c:strCache>
            </c:strRef>
          </c:tx>
          <c:spPr>
            <a:ln w="25400" cap="rnd">
              <a:noFill/>
              <a:round/>
            </a:ln>
            <a:effectLst/>
          </c:spPr>
          <c:marker>
            <c:symbol val="diamond"/>
            <c:size val="20"/>
            <c:spPr>
              <a:solidFill>
                <a:schemeClr val="accent2"/>
              </a:solidFill>
              <a:ln w="9525">
                <a:solidFill>
                  <a:schemeClr val="accent1"/>
                </a:solidFill>
              </a:ln>
              <a:effectLst/>
            </c:spPr>
          </c:marker>
          <c:xVal>
            <c:strRef>
              <c:f>'CEA Summary'!$F$28:$H$28</c:f>
              <c:strCache>
                <c:ptCount val="3"/>
                <c:pt idx="0">
                  <c:v>Patients referred within 7 days of symptom</c:v>
                </c:pt>
                <c:pt idx="1">
                  <c:v>Patients receiving surgery within 7 days of referral</c:v>
                </c:pt>
                <c:pt idx="2">
                  <c:v>Patients receiving surgery within 14 days of symptom</c:v>
                </c:pt>
              </c:strCache>
            </c:strRef>
          </c:xVal>
          <c:yVal>
            <c:numRef>
              <c:f>'CEA Summary'!$F$29:$H$29</c:f>
              <c:numCache>
                <c:formatCode>0%</c:formatCode>
                <c:ptCount val="3"/>
                <c:pt idx="0">
                  <c:v>0.56000000000000005</c:v>
                </c:pt>
                <c:pt idx="1">
                  <c:v>0.36</c:v>
                </c:pt>
                <c:pt idx="2">
                  <c:v>0.36</c:v>
                </c:pt>
              </c:numCache>
            </c:numRef>
          </c:yVal>
          <c:smooth val="0"/>
          <c:extLst>
            <c:ext xmlns:c16="http://schemas.microsoft.com/office/drawing/2014/chart" uri="{C3380CC4-5D6E-409C-BE32-E72D297353CC}">
              <c16:uniqueId val="{00000001-C135-4D6C-8572-5F8BFEFD4FA8}"/>
            </c:ext>
          </c:extLst>
        </c:ser>
        <c:dLbls>
          <c:showLegendKey val="0"/>
          <c:showVal val="0"/>
          <c:showCatName val="0"/>
          <c:showSerName val="0"/>
          <c:showPercent val="0"/>
          <c:showBubbleSize val="0"/>
        </c:dLbls>
        <c:axId val="406389960"/>
        <c:axId val="406391600"/>
      </c:scatterChart>
      <c:catAx>
        <c:axId val="406389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06391600"/>
        <c:crosses val="autoZero"/>
        <c:auto val="1"/>
        <c:lblAlgn val="ctr"/>
        <c:lblOffset val="100"/>
        <c:noMultiLvlLbl val="0"/>
      </c:catAx>
      <c:valAx>
        <c:axId val="4063916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063899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'AAA Funnel'!$C$1</c:f>
              <c:strCache>
                <c:ptCount val="1"/>
                <c:pt idx="0">
                  <c:v>Mortality Rate</c:v>
                </c:pt>
              </c:strCache>
            </c:strRef>
          </c:tx>
          <c:spPr>
            <a:ln w="25400" cap="rnd">
              <a:noFill/>
              <a:round/>
            </a:ln>
            <a:effectLst/>
          </c:spPr>
          <c:marker>
            <c:symbol val="circle"/>
            <c:size val="5"/>
            <c:spPr>
              <a:solidFill>
                <a:schemeClr val="tx1"/>
              </a:solidFill>
              <a:ln w="9525">
                <a:noFill/>
              </a:ln>
              <a:effectLst/>
            </c:spPr>
          </c:marker>
          <c:xVal>
            <c:numRef>
              <c:f>'AAA Funnel'!$B$2:$B$68</c:f>
              <c:numCache>
                <c:formatCode>General</c:formatCode>
                <c:ptCount val="67"/>
                <c:pt idx="0">
                  <c:v>123</c:v>
                </c:pt>
                <c:pt idx="1">
                  <c:v>122</c:v>
                </c:pt>
                <c:pt idx="2">
                  <c:v>64</c:v>
                </c:pt>
                <c:pt idx="3">
                  <c:v>200</c:v>
                </c:pt>
                <c:pt idx="4">
                  <c:v>146</c:v>
                </c:pt>
                <c:pt idx="5">
                  <c:v>165</c:v>
                </c:pt>
                <c:pt idx="6">
                  <c:v>34</c:v>
                </c:pt>
                <c:pt idx="7">
                  <c:v>16</c:v>
                </c:pt>
                <c:pt idx="8">
                  <c:v>92</c:v>
                </c:pt>
                <c:pt idx="9">
                  <c:v>157</c:v>
                </c:pt>
                <c:pt idx="10">
                  <c:v>103</c:v>
                </c:pt>
                <c:pt idx="11">
                  <c:v>23</c:v>
                </c:pt>
                <c:pt idx="12">
                  <c:v>132</c:v>
                </c:pt>
                <c:pt idx="13">
                  <c:v>119</c:v>
                </c:pt>
                <c:pt idx="14">
                  <c:v>164</c:v>
                </c:pt>
                <c:pt idx="15">
                  <c:v>114</c:v>
                </c:pt>
                <c:pt idx="16">
                  <c:v>44</c:v>
                </c:pt>
                <c:pt idx="17">
                  <c:v>176</c:v>
                </c:pt>
                <c:pt idx="18">
                  <c:v>51</c:v>
                </c:pt>
                <c:pt idx="19">
                  <c:v>200</c:v>
                </c:pt>
                <c:pt idx="20">
                  <c:v>148</c:v>
                </c:pt>
                <c:pt idx="21">
                  <c:v>83</c:v>
                </c:pt>
                <c:pt idx="22">
                  <c:v>226</c:v>
                </c:pt>
                <c:pt idx="23">
                  <c:v>117</c:v>
                </c:pt>
                <c:pt idx="24">
                  <c:v>191</c:v>
                </c:pt>
                <c:pt idx="25">
                  <c:v>147</c:v>
                </c:pt>
                <c:pt idx="26">
                  <c:v>276</c:v>
                </c:pt>
                <c:pt idx="27">
                  <c:v>170</c:v>
                </c:pt>
                <c:pt idx="28">
                  <c:v>7</c:v>
                </c:pt>
                <c:pt idx="29">
                  <c:v>74</c:v>
                </c:pt>
                <c:pt idx="30">
                  <c:v>159</c:v>
                </c:pt>
                <c:pt idx="31">
                  <c:v>200</c:v>
                </c:pt>
                <c:pt idx="32">
                  <c:v>136</c:v>
                </c:pt>
                <c:pt idx="33">
                  <c:v>107</c:v>
                </c:pt>
                <c:pt idx="34">
                  <c:v>59</c:v>
                </c:pt>
                <c:pt idx="35">
                  <c:v>108</c:v>
                </c:pt>
                <c:pt idx="36">
                  <c:v>53</c:v>
                </c:pt>
                <c:pt idx="37">
                  <c:v>28</c:v>
                </c:pt>
                <c:pt idx="38">
                  <c:v>115</c:v>
                </c:pt>
                <c:pt idx="39">
                  <c:v>118</c:v>
                </c:pt>
                <c:pt idx="40">
                  <c:v>9</c:v>
                </c:pt>
                <c:pt idx="41">
                  <c:v>177</c:v>
                </c:pt>
                <c:pt idx="42">
                  <c:v>177</c:v>
                </c:pt>
                <c:pt idx="43">
                  <c:v>130</c:v>
                </c:pt>
                <c:pt idx="44">
                  <c:v>192</c:v>
                </c:pt>
                <c:pt idx="45">
                  <c:v>109</c:v>
                </c:pt>
                <c:pt idx="46">
                  <c:v>118</c:v>
                </c:pt>
                <c:pt idx="47">
                  <c:v>149</c:v>
                </c:pt>
                <c:pt idx="48">
                  <c:v>96</c:v>
                </c:pt>
                <c:pt idx="49">
                  <c:v>94</c:v>
                </c:pt>
                <c:pt idx="50">
                  <c:v>150</c:v>
                </c:pt>
                <c:pt idx="51">
                  <c:v>65</c:v>
                </c:pt>
                <c:pt idx="52">
                  <c:v>53</c:v>
                </c:pt>
                <c:pt idx="53">
                  <c:v>173</c:v>
                </c:pt>
                <c:pt idx="54">
                  <c:v>95</c:v>
                </c:pt>
                <c:pt idx="55">
                  <c:v>227</c:v>
                </c:pt>
                <c:pt idx="56">
                  <c:v>69</c:v>
                </c:pt>
                <c:pt idx="57">
                  <c:v>86</c:v>
                </c:pt>
                <c:pt idx="58">
                  <c:v>118</c:v>
                </c:pt>
                <c:pt idx="59">
                  <c:v>213</c:v>
                </c:pt>
                <c:pt idx="60">
                  <c:v>84</c:v>
                </c:pt>
                <c:pt idx="61">
                  <c:v>54</c:v>
                </c:pt>
                <c:pt idx="62">
                  <c:v>107</c:v>
                </c:pt>
                <c:pt idx="63">
                  <c:v>62</c:v>
                </c:pt>
                <c:pt idx="64">
                  <c:v>97</c:v>
                </c:pt>
                <c:pt idx="65">
                  <c:v>47</c:v>
                </c:pt>
                <c:pt idx="66">
                  <c:v>271</c:v>
                </c:pt>
              </c:numCache>
            </c:numRef>
          </c:xVal>
          <c:yVal>
            <c:numRef>
              <c:f>'AAA Funnel'!$C$2:$C$68</c:f>
              <c:numCache>
                <c:formatCode>0.0</c:formatCode>
                <c:ptCount val="67"/>
                <c:pt idx="0">
                  <c:v>4.4043130000000001</c:v>
                </c:pt>
                <c:pt idx="1">
                  <c:v>2.789126</c:v>
                </c:pt>
                <c:pt idx="2">
                  <c:v>1.8815760000000001</c:v>
                </c:pt>
                <c:pt idx="3">
                  <c:v>0.5105731</c:v>
                </c:pt>
                <c:pt idx="4">
                  <c:v>0.66930219999999996</c:v>
                </c:pt>
                <c:pt idx="5">
                  <c:v>0.52965689999999999</c:v>
                </c:pt>
                <c:pt idx="6">
                  <c:v>0</c:v>
                </c:pt>
                <c:pt idx="7">
                  <c:v>0</c:v>
                </c:pt>
                <c:pt idx="8">
                  <c:v>1.250086</c:v>
                </c:pt>
                <c:pt idx="9">
                  <c:v>2.608714</c:v>
                </c:pt>
                <c:pt idx="10">
                  <c:v>2.1631269999999998</c:v>
                </c:pt>
                <c:pt idx="11">
                  <c:v>0</c:v>
                </c:pt>
                <c:pt idx="12">
                  <c:v>1.9981180000000001</c:v>
                </c:pt>
                <c:pt idx="13">
                  <c:v>2.0083389999999999</c:v>
                </c:pt>
                <c:pt idx="14">
                  <c:v>1.2063790000000001</c:v>
                </c:pt>
                <c:pt idx="15">
                  <c:v>2.0195029999999998</c:v>
                </c:pt>
                <c:pt idx="16">
                  <c:v>0</c:v>
                </c:pt>
                <c:pt idx="17">
                  <c:v>1.52881</c:v>
                </c:pt>
                <c:pt idx="18">
                  <c:v>1.537507</c:v>
                </c:pt>
                <c:pt idx="19">
                  <c:v>0.51652439999999999</c:v>
                </c:pt>
                <c:pt idx="20">
                  <c:v>0.73989070000000001</c:v>
                </c:pt>
                <c:pt idx="21">
                  <c:v>4.2748799999999996</c:v>
                </c:pt>
                <c:pt idx="22">
                  <c:v>0.48054889999999995</c:v>
                </c:pt>
                <c:pt idx="23">
                  <c:v>0.73965040000000004</c:v>
                </c:pt>
                <c:pt idx="24">
                  <c:v>0</c:v>
                </c:pt>
                <c:pt idx="25">
                  <c:v>0</c:v>
                </c:pt>
                <c:pt idx="26">
                  <c:v>3.3333719999999998</c:v>
                </c:pt>
                <c:pt idx="27">
                  <c:v>1.281839</c:v>
                </c:pt>
                <c:pt idx="28">
                  <c:v>0</c:v>
                </c:pt>
                <c:pt idx="29">
                  <c:v>0</c:v>
                </c:pt>
                <c:pt idx="30">
                  <c:v>1.8278779999999999</c:v>
                </c:pt>
                <c:pt idx="31">
                  <c:v>1.467354</c:v>
                </c:pt>
                <c:pt idx="32">
                  <c:v>0.61617149999999998</c:v>
                </c:pt>
                <c:pt idx="33">
                  <c:v>0.79707899999999998</c:v>
                </c:pt>
                <c:pt idx="34">
                  <c:v>3.9599410000000002</c:v>
                </c:pt>
                <c:pt idx="35">
                  <c:v>2.095577</c:v>
                </c:pt>
                <c:pt idx="36">
                  <c:v>0</c:v>
                </c:pt>
                <c:pt idx="37">
                  <c:v>0</c:v>
                </c:pt>
                <c:pt idx="38">
                  <c:v>0</c:v>
                </c:pt>
                <c:pt idx="39">
                  <c:v>1.7031019999999997</c:v>
                </c:pt>
                <c:pt idx="40">
                  <c:v>0</c:v>
                </c:pt>
                <c:pt idx="41">
                  <c:v>3.7041119999999998</c:v>
                </c:pt>
                <c:pt idx="42">
                  <c:v>1.6009260000000001</c:v>
                </c:pt>
                <c:pt idx="43">
                  <c:v>0.59494080000000005</c:v>
                </c:pt>
                <c:pt idx="44">
                  <c:v>0.63684799999999997</c:v>
                </c:pt>
                <c:pt idx="45">
                  <c:v>0.9191378</c:v>
                </c:pt>
                <c:pt idx="46">
                  <c:v>0.84193649999999998</c:v>
                </c:pt>
                <c:pt idx="47">
                  <c:v>0</c:v>
                </c:pt>
                <c:pt idx="48">
                  <c:v>0.93082620000000016</c:v>
                </c:pt>
                <c:pt idx="49">
                  <c:v>2.4074520000000001</c:v>
                </c:pt>
                <c:pt idx="50">
                  <c:v>1.9598459999999998</c:v>
                </c:pt>
                <c:pt idx="51">
                  <c:v>3.4595940000000001</c:v>
                </c:pt>
                <c:pt idx="52">
                  <c:v>1.6656660000000001</c:v>
                </c:pt>
                <c:pt idx="53">
                  <c:v>0.87016420000000005</c:v>
                </c:pt>
                <c:pt idx="54">
                  <c:v>4.5063599999999999</c:v>
                </c:pt>
                <c:pt idx="55">
                  <c:v>1.6177319999999999</c:v>
                </c:pt>
                <c:pt idx="56">
                  <c:v>5.2334149999999999</c:v>
                </c:pt>
                <c:pt idx="57">
                  <c:v>0</c:v>
                </c:pt>
                <c:pt idx="58">
                  <c:v>0</c:v>
                </c:pt>
                <c:pt idx="59">
                  <c:v>0</c:v>
                </c:pt>
                <c:pt idx="60">
                  <c:v>1.2710630000000001</c:v>
                </c:pt>
                <c:pt idx="61">
                  <c:v>1.8500389999999998</c:v>
                </c:pt>
                <c:pt idx="62">
                  <c:v>3.5006219999999999</c:v>
                </c:pt>
                <c:pt idx="63">
                  <c:v>1.5863510000000001</c:v>
                </c:pt>
                <c:pt idx="64">
                  <c:v>1.127238</c:v>
                </c:pt>
                <c:pt idx="65">
                  <c:v>2.693873</c:v>
                </c:pt>
                <c:pt idx="66">
                  <c:v>1.919117</c:v>
                </c:pt>
              </c:numCache>
            </c:numRef>
          </c:yVal>
          <c:smooth val="0"/>
          <c:extLst>
            <c:ext xmlns:c16="http://schemas.microsoft.com/office/drawing/2014/chart" uri="{C3380CC4-5D6E-409C-BE32-E72D297353CC}">
              <c16:uniqueId val="{00000000-3D59-4203-8258-53DDF9914824}"/>
            </c:ext>
          </c:extLst>
        </c:ser>
        <c:ser>
          <c:idx val="1"/>
          <c:order val="1"/>
          <c:tx>
            <c:v>National Rate</c:v>
          </c:tx>
          <c:spPr>
            <a:ln w="19050" cap="rnd">
              <a:solidFill>
                <a:srgbClr val="00B050"/>
              </a:solidFill>
              <a:round/>
            </a:ln>
            <a:effectLst/>
          </c:spPr>
          <c:marker>
            <c:symbol val="none"/>
          </c:marker>
          <c:xVal>
            <c:numRef>
              <c:f>'AAA Limits'!$B$2:$B$67</c:f>
              <c:numCache>
                <c:formatCode>General</c:formatCode>
                <c:ptCount val="66"/>
                <c:pt idx="0">
                  <c:v>1</c:v>
                </c:pt>
                <c:pt idx="1">
                  <c:v>5</c:v>
                </c:pt>
                <c:pt idx="2">
                  <c:v>7</c:v>
                </c:pt>
                <c:pt idx="3">
                  <c:v>9</c:v>
                </c:pt>
                <c:pt idx="4">
                  <c:v>11</c:v>
                </c:pt>
                <c:pt idx="5">
                  <c:v>15</c:v>
                </c:pt>
                <c:pt idx="6">
                  <c:v>16</c:v>
                </c:pt>
                <c:pt idx="7">
                  <c:v>18</c:v>
                </c:pt>
                <c:pt idx="8">
                  <c:v>23</c:v>
                </c:pt>
                <c:pt idx="9">
                  <c:v>28</c:v>
                </c:pt>
                <c:pt idx="10">
                  <c:v>34</c:v>
                </c:pt>
                <c:pt idx="11">
                  <c:v>44</c:v>
                </c:pt>
                <c:pt idx="12">
                  <c:v>47</c:v>
                </c:pt>
                <c:pt idx="13">
                  <c:v>51</c:v>
                </c:pt>
                <c:pt idx="14">
                  <c:v>53</c:v>
                </c:pt>
                <c:pt idx="15">
                  <c:v>54</c:v>
                </c:pt>
                <c:pt idx="16">
                  <c:v>59</c:v>
                </c:pt>
                <c:pt idx="17">
                  <c:v>62</c:v>
                </c:pt>
                <c:pt idx="18">
                  <c:v>64</c:v>
                </c:pt>
                <c:pt idx="19">
                  <c:v>65</c:v>
                </c:pt>
                <c:pt idx="20">
                  <c:v>69</c:v>
                </c:pt>
                <c:pt idx="21">
                  <c:v>74</c:v>
                </c:pt>
                <c:pt idx="22">
                  <c:v>83</c:v>
                </c:pt>
                <c:pt idx="23">
                  <c:v>84</c:v>
                </c:pt>
                <c:pt idx="24">
                  <c:v>86</c:v>
                </c:pt>
                <c:pt idx="25">
                  <c:v>92</c:v>
                </c:pt>
                <c:pt idx="26">
                  <c:v>94</c:v>
                </c:pt>
                <c:pt idx="27">
                  <c:v>95</c:v>
                </c:pt>
                <c:pt idx="28">
                  <c:v>96</c:v>
                </c:pt>
                <c:pt idx="29">
                  <c:v>97</c:v>
                </c:pt>
                <c:pt idx="30">
                  <c:v>103</c:v>
                </c:pt>
                <c:pt idx="31">
                  <c:v>107</c:v>
                </c:pt>
                <c:pt idx="32">
                  <c:v>108</c:v>
                </c:pt>
                <c:pt idx="33">
                  <c:v>109</c:v>
                </c:pt>
                <c:pt idx="34">
                  <c:v>114</c:v>
                </c:pt>
                <c:pt idx="35">
                  <c:v>115</c:v>
                </c:pt>
                <c:pt idx="36">
                  <c:v>117</c:v>
                </c:pt>
                <c:pt idx="37">
                  <c:v>118</c:v>
                </c:pt>
                <c:pt idx="38">
                  <c:v>119</c:v>
                </c:pt>
                <c:pt idx="39">
                  <c:v>122</c:v>
                </c:pt>
                <c:pt idx="40">
                  <c:v>123</c:v>
                </c:pt>
                <c:pt idx="41">
                  <c:v>130</c:v>
                </c:pt>
                <c:pt idx="42">
                  <c:v>132</c:v>
                </c:pt>
                <c:pt idx="43">
                  <c:v>136</c:v>
                </c:pt>
                <c:pt idx="44">
                  <c:v>146</c:v>
                </c:pt>
                <c:pt idx="45">
                  <c:v>147</c:v>
                </c:pt>
                <c:pt idx="46">
                  <c:v>148</c:v>
                </c:pt>
                <c:pt idx="47">
                  <c:v>149</c:v>
                </c:pt>
                <c:pt idx="48">
                  <c:v>150</c:v>
                </c:pt>
                <c:pt idx="49">
                  <c:v>157</c:v>
                </c:pt>
                <c:pt idx="50">
                  <c:v>159</c:v>
                </c:pt>
                <c:pt idx="51">
                  <c:v>164</c:v>
                </c:pt>
                <c:pt idx="52">
                  <c:v>165</c:v>
                </c:pt>
                <c:pt idx="53">
                  <c:v>170</c:v>
                </c:pt>
                <c:pt idx="54">
                  <c:v>173</c:v>
                </c:pt>
                <c:pt idx="55">
                  <c:v>176</c:v>
                </c:pt>
                <c:pt idx="56">
                  <c:v>177</c:v>
                </c:pt>
                <c:pt idx="57">
                  <c:v>191</c:v>
                </c:pt>
                <c:pt idx="58">
                  <c:v>192</c:v>
                </c:pt>
                <c:pt idx="59">
                  <c:v>200</c:v>
                </c:pt>
                <c:pt idx="60">
                  <c:v>213</c:v>
                </c:pt>
                <c:pt idx="61">
                  <c:v>226</c:v>
                </c:pt>
                <c:pt idx="62">
                  <c:v>227</c:v>
                </c:pt>
                <c:pt idx="63">
                  <c:v>271</c:v>
                </c:pt>
                <c:pt idx="64">
                  <c:v>276</c:v>
                </c:pt>
                <c:pt idx="65">
                  <c:v>300</c:v>
                </c:pt>
              </c:numCache>
            </c:numRef>
          </c:xVal>
          <c:yVal>
            <c:numRef>
              <c:f>'AAA Limits'!$D$2:$D$67</c:f>
              <c:numCache>
                <c:formatCode>General</c:formatCode>
                <c:ptCount val="66"/>
                <c:pt idx="0">
                  <c:v>1.4</c:v>
                </c:pt>
                <c:pt idx="1">
                  <c:v>1.4</c:v>
                </c:pt>
                <c:pt idx="2">
                  <c:v>1.4</c:v>
                </c:pt>
                <c:pt idx="3">
                  <c:v>1.4</c:v>
                </c:pt>
                <c:pt idx="4">
                  <c:v>1.4</c:v>
                </c:pt>
                <c:pt idx="5">
                  <c:v>1.4</c:v>
                </c:pt>
                <c:pt idx="6">
                  <c:v>1.4</c:v>
                </c:pt>
                <c:pt idx="7">
                  <c:v>1.4</c:v>
                </c:pt>
                <c:pt idx="8">
                  <c:v>1.4</c:v>
                </c:pt>
                <c:pt idx="9">
                  <c:v>1.4</c:v>
                </c:pt>
                <c:pt idx="10">
                  <c:v>1.4</c:v>
                </c:pt>
                <c:pt idx="11">
                  <c:v>1.4</c:v>
                </c:pt>
                <c:pt idx="12">
                  <c:v>1.4</c:v>
                </c:pt>
                <c:pt idx="13">
                  <c:v>1.4</c:v>
                </c:pt>
                <c:pt idx="14">
                  <c:v>1.4</c:v>
                </c:pt>
                <c:pt idx="15">
                  <c:v>1.4</c:v>
                </c:pt>
                <c:pt idx="16">
                  <c:v>1.4</c:v>
                </c:pt>
                <c:pt idx="17">
                  <c:v>1.4</c:v>
                </c:pt>
                <c:pt idx="18">
                  <c:v>1.4</c:v>
                </c:pt>
                <c:pt idx="19">
                  <c:v>1.4</c:v>
                </c:pt>
                <c:pt idx="20">
                  <c:v>1.4</c:v>
                </c:pt>
                <c:pt idx="21">
                  <c:v>1.4</c:v>
                </c:pt>
                <c:pt idx="22">
                  <c:v>1.4</c:v>
                </c:pt>
                <c:pt idx="23">
                  <c:v>1.4</c:v>
                </c:pt>
                <c:pt idx="24">
                  <c:v>1.4</c:v>
                </c:pt>
                <c:pt idx="25">
                  <c:v>1.4</c:v>
                </c:pt>
                <c:pt idx="26">
                  <c:v>1.4</c:v>
                </c:pt>
                <c:pt idx="27">
                  <c:v>1.4</c:v>
                </c:pt>
                <c:pt idx="28">
                  <c:v>1.4</c:v>
                </c:pt>
                <c:pt idx="29">
                  <c:v>1.4</c:v>
                </c:pt>
                <c:pt idx="30">
                  <c:v>1.4</c:v>
                </c:pt>
                <c:pt idx="31">
                  <c:v>1.4</c:v>
                </c:pt>
                <c:pt idx="32">
                  <c:v>1.4</c:v>
                </c:pt>
                <c:pt idx="33">
                  <c:v>1.4</c:v>
                </c:pt>
                <c:pt idx="34">
                  <c:v>1.4</c:v>
                </c:pt>
                <c:pt idx="35">
                  <c:v>1.4</c:v>
                </c:pt>
                <c:pt idx="36">
                  <c:v>1.4</c:v>
                </c:pt>
                <c:pt idx="37">
                  <c:v>1.4</c:v>
                </c:pt>
                <c:pt idx="38">
                  <c:v>1.4</c:v>
                </c:pt>
                <c:pt idx="39">
                  <c:v>1.4</c:v>
                </c:pt>
                <c:pt idx="40">
                  <c:v>1.4</c:v>
                </c:pt>
                <c:pt idx="41">
                  <c:v>1.4</c:v>
                </c:pt>
                <c:pt idx="42">
                  <c:v>1.4</c:v>
                </c:pt>
                <c:pt idx="43">
                  <c:v>1.4</c:v>
                </c:pt>
                <c:pt idx="44">
                  <c:v>1.4</c:v>
                </c:pt>
                <c:pt idx="45">
                  <c:v>1.4</c:v>
                </c:pt>
                <c:pt idx="46">
                  <c:v>1.4</c:v>
                </c:pt>
                <c:pt idx="47">
                  <c:v>1.4</c:v>
                </c:pt>
                <c:pt idx="48">
                  <c:v>1.4</c:v>
                </c:pt>
                <c:pt idx="49">
                  <c:v>1.4</c:v>
                </c:pt>
                <c:pt idx="50">
                  <c:v>1.4</c:v>
                </c:pt>
                <c:pt idx="51">
                  <c:v>1.4</c:v>
                </c:pt>
                <c:pt idx="52">
                  <c:v>1.4</c:v>
                </c:pt>
                <c:pt idx="53">
                  <c:v>1.4</c:v>
                </c:pt>
                <c:pt idx="54">
                  <c:v>1.4</c:v>
                </c:pt>
                <c:pt idx="55">
                  <c:v>1.4</c:v>
                </c:pt>
                <c:pt idx="56">
                  <c:v>1.4</c:v>
                </c:pt>
                <c:pt idx="57">
                  <c:v>1.4</c:v>
                </c:pt>
                <c:pt idx="58">
                  <c:v>1.4</c:v>
                </c:pt>
                <c:pt idx="59">
                  <c:v>1.4</c:v>
                </c:pt>
                <c:pt idx="60">
                  <c:v>1.4</c:v>
                </c:pt>
                <c:pt idx="61">
                  <c:v>1.4</c:v>
                </c:pt>
                <c:pt idx="62">
                  <c:v>1.4</c:v>
                </c:pt>
                <c:pt idx="63">
                  <c:v>1.4</c:v>
                </c:pt>
                <c:pt idx="64">
                  <c:v>1.4</c:v>
                </c:pt>
                <c:pt idx="65">
                  <c:v>1.4</c:v>
                </c:pt>
              </c:numCache>
            </c:numRef>
          </c:yVal>
          <c:smooth val="0"/>
          <c:extLst>
            <c:ext xmlns:c16="http://schemas.microsoft.com/office/drawing/2014/chart" uri="{C3380CC4-5D6E-409C-BE32-E72D297353CC}">
              <c16:uniqueId val="{00000001-3D59-4203-8258-53DDF9914824}"/>
            </c:ext>
          </c:extLst>
        </c:ser>
        <c:ser>
          <c:idx val="2"/>
          <c:order val="2"/>
          <c:tx>
            <c:v>Upper 99.8 Funnel Limits</c:v>
          </c:tx>
          <c:spPr>
            <a:ln w="19050" cap="rnd">
              <a:solidFill>
                <a:srgbClr val="0070C0"/>
              </a:solidFill>
              <a:prstDash val="sysDash"/>
              <a:round/>
            </a:ln>
            <a:effectLst/>
          </c:spPr>
          <c:marker>
            <c:symbol val="none"/>
          </c:marker>
          <c:xVal>
            <c:numRef>
              <c:f>'AAA Limits'!$B$2:$B$67</c:f>
              <c:numCache>
                <c:formatCode>General</c:formatCode>
                <c:ptCount val="66"/>
                <c:pt idx="0">
                  <c:v>1</c:v>
                </c:pt>
                <c:pt idx="1">
                  <c:v>5</c:v>
                </c:pt>
                <c:pt idx="2">
                  <c:v>7</c:v>
                </c:pt>
                <c:pt idx="3">
                  <c:v>9</c:v>
                </c:pt>
                <c:pt idx="4">
                  <c:v>11</c:v>
                </c:pt>
                <c:pt idx="5">
                  <c:v>15</c:v>
                </c:pt>
                <c:pt idx="6">
                  <c:v>16</c:v>
                </c:pt>
                <c:pt idx="7">
                  <c:v>18</c:v>
                </c:pt>
                <c:pt idx="8">
                  <c:v>23</c:v>
                </c:pt>
                <c:pt idx="9">
                  <c:v>28</c:v>
                </c:pt>
                <c:pt idx="10">
                  <c:v>34</c:v>
                </c:pt>
                <c:pt idx="11">
                  <c:v>44</c:v>
                </c:pt>
                <c:pt idx="12">
                  <c:v>47</c:v>
                </c:pt>
                <c:pt idx="13">
                  <c:v>51</c:v>
                </c:pt>
                <c:pt idx="14">
                  <c:v>53</c:v>
                </c:pt>
                <c:pt idx="15">
                  <c:v>54</c:v>
                </c:pt>
                <c:pt idx="16">
                  <c:v>59</c:v>
                </c:pt>
                <c:pt idx="17">
                  <c:v>62</c:v>
                </c:pt>
                <c:pt idx="18">
                  <c:v>64</c:v>
                </c:pt>
                <c:pt idx="19">
                  <c:v>65</c:v>
                </c:pt>
                <c:pt idx="20">
                  <c:v>69</c:v>
                </c:pt>
                <c:pt idx="21">
                  <c:v>74</c:v>
                </c:pt>
                <c:pt idx="22">
                  <c:v>83</c:v>
                </c:pt>
                <c:pt idx="23">
                  <c:v>84</c:v>
                </c:pt>
                <c:pt idx="24">
                  <c:v>86</c:v>
                </c:pt>
                <c:pt idx="25">
                  <c:v>92</c:v>
                </c:pt>
                <c:pt idx="26">
                  <c:v>94</c:v>
                </c:pt>
                <c:pt idx="27">
                  <c:v>95</c:v>
                </c:pt>
                <c:pt idx="28">
                  <c:v>96</c:v>
                </c:pt>
                <c:pt idx="29">
                  <c:v>97</c:v>
                </c:pt>
                <c:pt idx="30">
                  <c:v>103</c:v>
                </c:pt>
                <c:pt idx="31">
                  <c:v>107</c:v>
                </c:pt>
                <c:pt idx="32">
                  <c:v>108</c:v>
                </c:pt>
                <c:pt idx="33">
                  <c:v>109</c:v>
                </c:pt>
                <c:pt idx="34">
                  <c:v>114</c:v>
                </c:pt>
                <c:pt idx="35">
                  <c:v>115</c:v>
                </c:pt>
                <c:pt idx="36">
                  <c:v>117</c:v>
                </c:pt>
                <c:pt idx="37">
                  <c:v>118</c:v>
                </c:pt>
                <c:pt idx="38">
                  <c:v>119</c:v>
                </c:pt>
                <c:pt idx="39">
                  <c:v>122</c:v>
                </c:pt>
                <c:pt idx="40">
                  <c:v>123</c:v>
                </c:pt>
                <c:pt idx="41">
                  <c:v>130</c:v>
                </c:pt>
                <c:pt idx="42">
                  <c:v>132</c:v>
                </c:pt>
                <c:pt idx="43">
                  <c:v>136</c:v>
                </c:pt>
                <c:pt idx="44">
                  <c:v>146</c:v>
                </c:pt>
                <c:pt idx="45">
                  <c:v>147</c:v>
                </c:pt>
                <c:pt idx="46">
                  <c:v>148</c:v>
                </c:pt>
                <c:pt idx="47">
                  <c:v>149</c:v>
                </c:pt>
                <c:pt idx="48">
                  <c:v>150</c:v>
                </c:pt>
                <c:pt idx="49">
                  <c:v>157</c:v>
                </c:pt>
                <c:pt idx="50">
                  <c:v>159</c:v>
                </c:pt>
                <c:pt idx="51">
                  <c:v>164</c:v>
                </c:pt>
                <c:pt idx="52">
                  <c:v>165</c:v>
                </c:pt>
                <c:pt idx="53">
                  <c:v>170</c:v>
                </c:pt>
                <c:pt idx="54">
                  <c:v>173</c:v>
                </c:pt>
                <c:pt idx="55">
                  <c:v>176</c:v>
                </c:pt>
                <c:pt idx="56">
                  <c:v>177</c:v>
                </c:pt>
                <c:pt idx="57">
                  <c:v>191</c:v>
                </c:pt>
                <c:pt idx="58">
                  <c:v>192</c:v>
                </c:pt>
                <c:pt idx="59">
                  <c:v>200</c:v>
                </c:pt>
                <c:pt idx="60">
                  <c:v>213</c:v>
                </c:pt>
                <c:pt idx="61">
                  <c:v>226</c:v>
                </c:pt>
                <c:pt idx="62">
                  <c:v>227</c:v>
                </c:pt>
                <c:pt idx="63">
                  <c:v>271</c:v>
                </c:pt>
                <c:pt idx="64">
                  <c:v>276</c:v>
                </c:pt>
                <c:pt idx="65">
                  <c:v>300</c:v>
                </c:pt>
              </c:numCache>
            </c:numRef>
          </c:xVal>
          <c:yVal>
            <c:numRef>
              <c:f>'AAA Limits'!$C$2:$C$67</c:f>
              <c:numCache>
                <c:formatCode>General</c:formatCode>
                <c:ptCount val="66"/>
                <c:pt idx="0">
                  <c:v>193.0855</c:v>
                </c:pt>
                <c:pt idx="1">
                  <c:v>50.306339999999999</c:v>
                </c:pt>
                <c:pt idx="2">
                  <c:v>39.713529999999999</c:v>
                </c:pt>
                <c:pt idx="3">
                  <c:v>32.08822</c:v>
                </c:pt>
                <c:pt idx="4">
                  <c:v>26.78396</c:v>
                </c:pt>
                <c:pt idx="5">
                  <c:v>21.200790000000001</c:v>
                </c:pt>
                <c:pt idx="6">
                  <c:v>20.849959999999999</c:v>
                </c:pt>
                <c:pt idx="7">
                  <c:v>19.740469999999998</c:v>
                </c:pt>
                <c:pt idx="8">
                  <c:v>16.642800000000001</c:v>
                </c:pt>
                <c:pt idx="9">
                  <c:v>14.11896</c:v>
                </c:pt>
                <c:pt idx="10">
                  <c:v>12.74004</c:v>
                </c:pt>
                <c:pt idx="11">
                  <c:v>10.9727</c:v>
                </c:pt>
                <c:pt idx="12">
                  <c:v>10.4268</c:v>
                </c:pt>
                <c:pt idx="13">
                  <c:v>9.7522520000000004</c:v>
                </c:pt>
                <c:pt idx="14">
                  <c:v>9.4749060000000007</c:v>
                </c:pt>
                <c:pt idx="15">
                  <c:v>9.4677260000000008</c:v>
                </c:pt>
                <c:pt idx="16">
                  <c:v>9.2456770000000006</c:v>
                </c:pt>
                <c:pt idx="17">
                  <c:v>9.0277790000000007</c:v>
                </c:pt>
                <c:pt idx="18">
                  <c:v>8.8659649999999992</c:v>
                </c:pt>
                <c:pt idx="19">
                  <c:v>8.7821700000000007</c:v>
                </c:pt>
                <c:pt idx="20">
                  <c:v>8.4384370000000004</c:v>
                </c:pt>
                <c:pt idx="21">
                  <c:v>8.0108390000000007</c:v>
                </c:pt>
                <c:pt idx="22">
                  <c:v>7.588012</c:v>
                </c:pt>
                <c:pt idx="23">
                  <c:v>7.5622030000000002</c:v>
                </c:pt>
                <c:pt idx="24">
                  <c:v>7.4999339999999997</c:v>
                </c:pt>
                <c:pt idx="25">
                  <c:v>7.25685</c:v>
                </c:pt>
                <c:pt idx="26">
                  <c:v>7.1647990000000004</c:v>
                </c:pt>
                <c:pt idx="27">
                  <c:v>7.1176389999999996</c:v>
                </c:pt>
                <c:pt idx="28">
                  <c:v>7.0699240000000003</c:v>
                </c:pt>
                <c:pt idx="29">
                  <c:v>7.0217840000000002</c:v>
                </c:pt>
                <c:pt idx="30">
                  <c:v>6.7296449999999997</c:v>
                </c:pt>
                <c:pt idx="31">
                  <c:v>6.5369219999999997</c:v>
                </c:pt>
                <c:pt idx="32">
                  <c:v>6.5186999999999999</c:v>
                </c:pt>
                <c:pt idx="33">
                  <c:v>6.5159520000000004</c:v>
                </c:pt>
                <c:pt idx="34">
                  <c:v>6.4590769999999997</c:v>
                </c:pt>
                <c:pt idx="35">
                  <c:v>6.4409640000000001</c:v>
                </c:pt>
                <c:pt idx="36">
                  <c:v>6.3997289999999998</c:v>
                </c:pt>
                <c:pt idx="37">
                  <c:v>6.3769549999999997</c:v>
                </c:pt>
                <c:pt idx="38">
                  <c:v>6.3529479999999996</c:v>
                </c:pt>
                <c:pt idx="39">
                  <c:v>6.2748309999999998</c:v>
                </c:pt>
                <c:pt idx="40">
                  <c:v>6.2471389999999998</c:v>
                </c:pt>
                <c:pt idx="41">
                  <c:v>6.0390069999999998</c:v>
                </c:pt>
                <c:pt idx="42">
                  <c:v>5.9768689999999998</c:v>
                </c:pt>
                <c:pt idx="43">
                  <c:v>5.8514379999999999</c:v>
                </c:pt>
                <c:pt idx="44">
                  <c:v>5.7218999999999998</c:v>
                </c:pt>
                <c:pt idx="45">
                  <c:v>5.7102329999999997</c:v>
                </c:pt>
                <c:pt idx="46">
                  <c:v>5.6974780000000003</c:v>
                </c:pt>
                <c:pt idx="47">
                  <c:v>5.6837260000000001</c:v>
                </c:pt>
                <c:pt idx="48">
                  <c:v>5.6690649999999998</c:v>
                </c:pt>
                <c:pt idx="49">
                  <c:v>5.546945</c:v>
                </c:pt>
                <c:pt idx="50">
                  <c:v>5.5075240000000001</c:v>
                </c:pt>
                <c:pt idx="51">
                  <c:v>5.4037189999999997</c:v>
                </c:pt>
                <c:pt idx="52">
                  <c:v>5.3823179999999997</c:v>
                </c:pt>
                <c:pt idx="53">
                  <c:v>5.2734940000000003</c:v>
                </c:pt>
                <c:pt idx="54">
                  <c:v>5.2213989999999999</c:v>
                </c:pt>
                <c:pt idx="55">
                  <c:v>5.2147870000000003</c:v>
                </c:pt>
                <c:pt idx="56">
                  <c:v>5.2103390000000003</c:v>
                </c:pt>
                <c:pt idx="57">
                  <c:v>5.0702410000000002</c:v>
                </c:pt>
                <c:pt idx="58">
                  <c:v>5.0565290000000003</c:v>
                </c:pt>
                <c:pt idx="59">
                  <c:v>4.9376939999999996</c:v>
                </c:pt>
                <c:pt idx="60">
                  <c:v>4.803769</c:v>
                </c:pt>
                <c:pt idx="61">
                  <c:v>4.7101860000000002</c:v>
                </c:pt>
                <c:pt idx="62">
                  <c:v>4.7003110000000001</c:v>
                </c:pt>
                <c:pt idx="63">
                  <c:v>4.35365</c:v>
                </c:pt>
                <c:pt idx="64">
                  <c:v>4.3080429999999996</c:v>
                </c:pt>
                <c:pt idx="65">
                  <c:v>4.1888399999999999</c:v>
                </c:pt>
              </c:numCache>
            </c:numRef>
          </c:yVal>
          <c:smooth val="0"/>
          <c:extLst>
            <c:ext xmlns:c16="http://schemas.microsoft.com/office/drawing/2014/chart" uri="{C3380CC4-5D6E-409C-BE32-E72D297353CC}">
              <c16:uniqueId val="{00000002-3D59-4203-8258-53DDF9914824}"/>
            </c:ext>
          </c:extLst>
        </c:ser>
        <c:ser>
          <c:idx val="3"/>
          <c:order val="3"/>
          <c:tx>
            <c:strRef>
              <c:f>'AAA Summary'!$B$1</c:f>
              <c:strCache>
                <c:ptCount val="1"/>
                <c:pt idx="0">
                  <c:v>Barking, Havering and Redbridge University Hospitals NHS Trust</c:v>
                </c:pt>
              </c:strCache>
            </c:strRef>
          </c:tx>
          <c:spPr>
            <a:ln w="25400" cap="rnd">
              <a:noFill/>
              <a:round/>
            </a:ln>
            <a:effectLst/>
          </c:spPr>
          <c:marker>
            <c:symbol val="circle"/>
            <c:size val="5"/>
            <c:spPr>
              <a:solidFill>
                <a:srgbClr val="FF0000"/>
              </a:solidFill>
              <a:ln w="12700">
                <a:solidFill>
                  <a:srgbClr val="FF0000"/>
                </a:solidFill>
              </a:ln>
              <a:effectLst/>
            </c:spPr>
          </c:marker>
          <c:xVal>
            <c:numRef>
              <c:f>'AAA Summary'!$AJ$2</c:f>
              <c:numCache>
                <c:formatCode>General</c:formatCode>
                <c:ptCount val="1"/>
                <c:pt idx="0">
                  <c:v>51</c:v>
                </c:pt>
              </c:numCache>
            </c:numRef>
          </c:xVal>
          <c:yVal>
            <c:numRef>
              <c:f>'AAA Summary'!$AK$2</c:f>
              <c:numCache>
                <c:formatCode>General</c:formatCode>
                <c:ptCount val="1"/>
                <c:pt idx="0">
                  <c:v>1.537507</c:v>
                </c:pt>
              </c:numCache>
            </c:numRef>
          </c:yVal>
          <c:smooth val="0"/>
          <c:extLst>
            <c:ext xmlns:c16="http://schemas.microsoft.com/office/drawing/2014/chart" uri="{C3380CC4-5D6E-409C-BE32-E72D297353CC}">
              <c16:uniqueId val="{00000003-3D59-4203-8258-53DDF9914824}"/>
            </c:ext>
          </c:extLst>
        </c:ser>
        <c:ser>
          <c:idx val="4"/>
          <c:order val="4"/>
          <c:tx>
            <c:v>Upper 95 Funnel Limits</c:v>
          </c:tx>
          <c:spPr>
            <a:ln w="15875" cap="rnd">
              <a:solidFill>
                <a:schemeClr val="accent2">
                  <a:lumMod val="40000"/>
                  <a:lumOff val="60000"/>
                </a:schemeClr>
              </a:solidFill>
              <a:prstDash val="dash"/>
              <a:round/>
            </a:ln>
            <a:effectLst/>
          </c:spPr>
          <c:marker>
            <c:symbol val="none"/>
          </c:marker>
          <c:xVal>
            <c:numRef>
              <c:f>'AAA Limits'!$B$2:$B$67</c:f>
              <c:numCache>
                <c:formatCode>General</c:formatCode>
                <c:ptCount val="66"/>
                <c:pt idx="0">
                  <c:v>1</c:v>
                </c:pt>
                <c:pt idx="1">
                  <c:v>5</c:v>
                </c:pt>
                <c:pt idx="2">
                  <c:v>7</c:v>
                </c:pt>
                <c:pt idx="3">
                  <c:v>9</c:v>
                </c:pt>
                <c:pt idx="4">
                  <c:v>11</c:v>
                </c:pt>
                <c:pt idx="5">
                  <c:v>15</c:v>
                </c:pt>
                <c:pt idx="6">
                  <c:v>16</c:v>
                </c:pt>
                <c:pt idx="7">
                  <c:v>18</c:v>
                </c:pt>
                <c:pt idx="8">
                  <c:v>23</c:v>
                </c:pt>
                <c:pt idx="9">
                  <c:v>28</c:v>
                </c:pt>
                <c:pt idx="10">
                  <c:v>34</c:v>
                </c:pt>
                <c:pt idx="11">
                  <c:v>44</c:v>
                </c:pt>
                <c:pt idx="12">
                  <c:v>47</c:v>
                </c:pt>
                <c:pt idx="13">
                  <c:v>51</c:v>
                </c:pt>
                <c:pt idx="14">
                  <c:v>53</c:v>
                </c:pt>
                <c:pt idx="15">
                  <c:v>54</c:v>
                </c:pt>
                <c:pt idx="16">
                  <c:v>59</c:v>
                </c:pt>
                <c:pt idx="17">
                  <c:v>62</c:v>
                </c:pt>
                <c:pt idx="18">
                  <c:v>64</c:v>
                </c:pt>
                <c:pt idx="19">
                  <c:v>65</c:v>
                </c:pt>
                <c:pt idx="20">
                  <c:v>69</c:v>
                </c:pt>
                <c:pt idx="21">
                  <c:v>74</c:v>
                </c:pt>
                <c:pt idx="22">
                  <c:v>83</c:v>
                </c:pt>
                <c:pt idx="23">
                  <c:v>84</c:v>
                </c:pt>
                <c:pt idx="24">
                  <c:v>86</c:v>
                </c:pt>
                <c:pt idx="25">
                  <c:v>92</c:v>
                </c:pt>
                <c:pt idx="26">
                  <c:v>94</c:v>
                </c:pt>
                <c:pt idx="27">
                  <c:v>95</c:v>
                </c:pt>
                <c:pt idx="28">
                  <c:v>96</c:v>
                </c:pt>
                <c:pt idx="29">
                  <c:v>97</c:v>
                </c:pt>
                <c:pt idx="30">
                  <c:v>103</c:v>
                </c:pt>
                <c:pt idx="31">
                  <c:v>107</c:v>
                </c:pt>
                <c:pt idx="32">
                  <c:v>108</c:v>
                </c:pt>
                <c:pt idx="33">
                  <c:v>109</c:v>
                </c:pt>
                <c:pt idx="34">
                  <c:v>114</c:v>
                </c:pt>
                <c:pt idx="35">
                  <c:v>115</c:v>
                </c:pt>
                <c:pt idx="36">
                  <c:v>117</c:v>
                </c:pt>
                <c:pt idx="37">
                  <c:v>118</c:v>
                </c:pt>
                <c:pt idx="38">
                  <c:v>119</c:v>
                </c:pt>
                <c:pt idx="39">
                  <c:v>122</c:v>
                </c:pt>
                <c:pt idx="40">
                  <c:v>123</c:v>
                </c:pt>
                <c:pt idx="41">
                  <c:v>130</c:v>
                </c:pt>
                <c:pt idx="42">
                  <c:v>132</c:v>
                </c:pt>
                <c:pt idx="43">
                  <c:v>136</c:v>
                </c:pt>
                <c:pt idx="44">
                  <c:v>146</c:v>
                </c:pt>
                <c:pt idx="45">
                  <c:v>147</c:v>
                </c:pt>
                <c:pt idx="46">
                  <c:v>148</c:v>
                </c:pt>
                <c:pt idx="47">
                  <c:v>149</c:v>
                </c:pt>
                <c:pt idx="48">
                  <c:v>150</c:v>
                </c:pt>
                <c:pt idx="49">
                  <c:v>157</c:v>
                </c:pt>
                <c:pt idx="50">
                  <c:v>159</c:v>
                </c:pt>
                <c:pt idx="51">
                  <c:v>164</c:v>
                </c:pt>
                <c:pt idx="52">
                  <c:v>165</c:v>
                </c:pt>
                <c:pt idx="53">
                  <c:v>170</c:v>
                </c:pt>
                <c:pt idx="54">
                  <c:v>173</c:v>
                </c:pt>
                <c:pt idx="55">
                  <c:v>176</c:v>
                </c:pt>
                <c:pt idx="56">
                  <c:v>177</c:v>
                </c:pt>
                <c:pt idx="57">
                  <c:v>191</c:v>
                </c:pt>
                <c:pt idx="58">
                  <c:v>192</c:v>
                </c:pt>
                <c:pt idx="59">
                  <c:v>200</c:v>
                </c:pt>
                <c:pt idx="60">
                  <c:v>213</c:v>
                </c:pt>
                <c:pt idx="61">
                  <c:v>226</c:v>
                </c:pt>
                <c:pt idx="62">
                  <c:v>227</c:v>
                </c:pt>
                <c:pt idx="63">
                  <c:v>271</c:v>
                </c:pt>
                <c:pt idx="64">
                  <c:v>276</c:v>
                </c:pt>
                <c:pt idx="65">
                  <c:v>300</c:v>
                </c:pt>
              </c:numCache>
            </c:numRef>
          </c:xVal>
          <c:yVal>
            <c:numRef>
              <c:f>'AAA Limits'!$E$2:$E$67</c:f>
              <c:numCache>
                <c:formatCode>General</c:formatCode>
                <c:ptCount val="66"/>
                <c:pt idx="0">
                  <c:v>98.930760000000006</c:v>
                </c:pt>
                <c:pt idx="1">
                  <c:v>33.266240000000003</c:v>
                </c:pt>
                <c:pt idx="2">
                  <c:v>25.36589</c:v>
                </c:pt>
                <c:pt idx="3">
                  <c:v>20.49935</c:v>
                </c:pt>
                <c:pt idx="4">
                  <c:v>17.226420000000001</c:v>
                </c:pt>
                <c:pt idx="5">
                  <c:v>13.12158</c:v>
                </c:pt>
                <c:pt idx="6">
                  <c:v>12.39714</c:v>
                </c:pt>
                <c:pt idx="7">
                  <c:v>11.64705</c:v>
                </c:pt>
                <c:pt idx="8">
                  <c:v>10.735580000000001</c:v>
                </c:pt>
                <c:pt idx="9">
                  <c:v>9.5639190000000003</c:v>
                </c:pt>
                <c:pt idx="10">
                  <c:v>8.3424180000000003</c:v>
                </c:pt>
                <c:pt idx="11">
                  <c:v>6.8998150000000003</c:v>
                </c:pt>
                <c:pt idx="12">
                  <c:v>6.8436050000000002</c:v>
                </c:pt>
                <c:pt idx="13">
                  <c:v>6.6760820000000001</c:v>
                </c:pt>
                <c:pt idx="14">
                  <c:v>6.5704229999999999</c:v>
                </c:pt>
                <c:pt idx="15">
                  <c:v>6.514386</c:v>
                </c:pt>
                <c:pt idx="16">
                  <c:v>6.2181610000000003</c:v>
                </c:pt>
                <c:pt idx="17">
                  <c:v>6.0369989999999998</c:v>
                </c:pt>
                <c:pt idx="18">
                  <c:v>5.9175940000000002</c:v>
                </c:pt>
                <c:pt idx="19">
                  <c:v>5.8586130000000001</c:v>
                </c:pt>
                <c:pt idx="20">
                  <c:v>5.6290459999999998</c:v>
                </c:pt>
                <c:pt idx="21">
                  <c:v>5.3592060000000004</c:v>
                </c:pt>
                <c:pt idx="22">
                  <c:v>5.1823740000000003</c:v>
                </c:pt>
                <c:pt idx="23">
                  <c:v>5.1652979999999999</c:v>
                </c:pt>
                <c:pt idx="24">
                  <c:v>5.1267769999999997</c:v>
                </c:pt>
                <c:pt idx="25">
                  <c:v>4.9868189999999997</c:v>
                </c:pt>
                <c:pt idx="26">
                  <c:v>4.9350120000000004</c:v>
                </c:pt>
                <c:pt idx="27">
                  <c:v>4.9085219999999996</c:v>
                </c:pt>
                <c:pt idx="28">
                  <c:v>4.8817279999999998</c:v>
                </c:pt>
                <c:pt idx="29">
                  <c:v>4.8546870000000002</c:v>
                </c:pt>
                <c:pt idx="30">
                  <c:v>4.6898489999999997</c:v>
                </c:pt>
                <c:pt idx="31">
                  <c:v>4.5800229999999997</c:v>
                </c:pt>
                <c:pt idx="32">
                  <c:v>4.5528069999999996</c:v>
                </c:pt>
                <c:pt idx="33">
                  <c:v>4.5257250000000004</c:v>
                </c:pt>
                <c:pt idx="34">
                  <c:v>4.4070679999999998</c:v>
                </c:pt>
                <c:pt idx="35">
                  <c:v>4.4059369999999998</c:v>
                </c:pt>
                <c:pt idx="36">
                  <c:v>4.39968</c:v>
                </c:pt>
                <c:pt idx="37">
                  <c:v>4.3947609999999999</c:v>
                </c:pt>
                <c:pt idx="38">
                  <c:v>4.3887720000000003</c:v>
                </c:pt>
                <c:pt idx="39">
                  <c:v>4.3652129999999998</c:v>
                </c:pt>
                <c:pt idx="40">
                  <c:v>4.3557399999999999</c:v>
                </c:pt>
                <c:pt idx="41">
                  <c:v>4.2727769999999996</c:v>
                </c:pt>
                <c:pt idx="42">
                  <c:v>4.2451129999999999</c:v>
                </c:pt>
                <c:pt idx="43">
                  <c:v>4.1863720000000004</c:v>
                </c:pt>
                <c:pt idx="44">
                  <c:v>4.0285250000000001</c:v>
                </c:pt>
                <c:pt idx="45">
                  <c:v>4.0123610000000003</c:v>
                </c:pt>
                <c:pt idx="46">
                  <c:v>3.9961790000000001</c:v>
                </c:pt>
                <c:pt idx="47">
                  <c:v>3.9799910000000001</c:v>
                </c:pt>
                <c:pt idx="48">
                  <c:v>3.9638059999999999</c:v>
                </c:pt>
                <c:pt idx="49">
                  <c:v>3.9012720000000001</c:v>
                </c:pt>
                <c:pt idx="50">
                  <c:v>3.8955639999999998</c:v>
                </c:pt>
                <c:pt idx="51">
                  <c:v>3.871747</c:v>
                </c:pt>
                <c:pt idx="52">
                  <c:v>3.8656109999999999</c:v>
                </c:pt>
                <c:pt idx="53">
                  <c:v>3.8295689999999998</c:v>
                </c:pt>
                <c:pt idx="54">
                  <c:v>3.8044530000000001</c:v>
                </c:pt>
                <c:pt idx="55">
                  <c:v>3.7773370000000002</c:v>
                </c:pt>
                <c:pt idx="56">
                  <c:v>3.7679260000000001</c:v>
                </c:pt>
                <c:pt idx="57">
                  <c:v>3.6240760000000001</c:v>
                </c:pt>
                <c:pt idx="58">
                  <c:v>3.6132970000000002</c:v>
                </c:pt>
                <c:pt idx="59">
                  <c:v>3.5649679999999999</c:v>
                </c:pt>
                <c:pt idx="60">
                  <c:v>3.5174889999999999</c:v>
                </c:pt>
                <c:pt idx="61">
                  <c:v>3.4352879999999999</c:v>
                </c:pt>
                <c:pt idx="62">
                  <c:v>3.42815</c:v>
                </c:pt>
                <c:pt idx="63">
                  <c:v>3.228669</c:v>
                </c:pt>
                <c:pt idx="64">
                  <c:v>3.201813</c:v>
                </c:pt>
                <c:pt idx="65">
                  <c:v>3.1245880000000001</c:v>
                </c:pt>
              </c:numCache>
            </c:numRef>
          </c:yVal>
          <c:smooth val="0"/>
          <c:extLst>
            <c:ext xmlns:c16="http://schemas.microsoft.com/office/drawing/2014/chart" uri="{C3380CC4-5D6E-409C-BE32-E72D297353CC}">
              <c16:uniqueId val="{00000004-3D59-4203-8258-53DDF9914824}"/>
            </c:ext>
          </c:extLst>
        </c:ser>
        <c:dLbls>
          <c:showLegendKey val="0"/>
          <c:showVal val="0"/>
          <c:showCatName val="0"/>
          <c:showSerName val="0"/>
          <c:showPercent val="0"/>
          <c:showBubbleSize val="0"/>
        </c:dLbls>
        <c:axId val="578498000"/>
        <c:axId val="578493408"/>
      </c:scatterChart>
      <c:valAx>
        <c:axId val="578498000"/>
        <c:scaling>
          <c:orientation val="minMax"/>
          <c:max val="3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GB"/>
                  <a:t>Number of operations</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578493408"/>
        <c:crosses val="autoZero"/>
        <c:crossBetween val="midCat"/>
      </c:valAx>
      <c:valAx>
        <c:axId val="578493408"/>
        <c:scaling>
          <c:orientation val="minMax"/>
          <c:max val="3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GB"/>
                  <a:t>% In hospital deaths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57849800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'AAA Summary'!$H$56</c:f>
          <c:strCache>
            <c:ptCount val="1"/>
            <c:pt idx="0">
              <c:v>% patients with date of assessment</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areaChart>
        <c:grouping val="stacked"/>
        <c:varyColors val="0"/>
        <c:ser>
          <c:idx val="0"/>
          <c:order val="0"/>
          <c:tx>
            <c:strRef>
              <c:f>'Elective Infra-Renal AAA Repair'!$H$7</c:f>
              <c:strCache>
                <c:ptCount val="1"/>
                <c:pt idx="0">
                  <c:v>%patients discussed at MDT</c:v>
                </c:pt>
              </c:strCache>
            </c:strRef>
          </c:tx>
          <c:spPr>
            <a:solidFill>
              <a:schemeClr val="accent1"/>
            </a:solidFill>
            <a:ln w="25400">
              <a:noFill/>
            </a:ln>
            <a:effectLst/>
          </c:spPr>
          <c:cat>
            <c:numRef>
              <c:f>'Elective Infra-Renal AAA Repair'!$T$8:$T$75</c:f>
              <c:numCache>
                <c:formatCode>General</c:formatCode>
                <c:ptCount val="68"/>
                <c:pt idx="0">
                  <c:v>29</c:v>
                </c:pt>
                <c:pt idx="1">
                  <c:v>7</c:v>
                </c:pt>
                <c:pt idx="2">
                  <c:v>54</c:v>
                </c:pt>
                <c:pt idx="3">
                  <c:v>16</c:v>
                </c:pt>
                <c:pt idx="4">
                  <c:v>38</c:v>
                </c:pt>
                <c:pt idx="5">
                  <c:v>39</c:v>
                </c:pt>
                <c:pt idx="6">
                  <c:v>13</c:v>
                </c:pt>
                <c:pt idx="7">
                  <c:v>42</c:v>
                </c:pt>
                <c:pt idx="8">
                  <c:v>19</c:v>
                </c:pt>
                <c:pt idx="9">
                  <c:v>3</c:v>
                </c:pt>
                <c:pt idx="10">
                  <c:v>55</c:v>
                </c:pt>
                <c:pt idx="11">
                  <c:v>32</c:v>
                </c:pt>
                <c:pt idx="12">
                  <c:v>20</c:v>
                </c:pt>
                <c:pt idx="13">
                  <c:v>43</c:v>
                </c:pt>
                <c:pt idx="14">
                  <c:v>27</c:v>
                </c:pt>
                <c:pt idx="15">
                  <c:v>44</c:v>
                </c:pt>
                <c:pt idx="16">
                  <c:v>30</c:v>
                </c:pt>
                <c:pt idx="17">
                  <c:v>56</c:v>
                </c:pt>
                <c:pt idx="18">
                  <c:v>8</c:v>
                </c:pt>
                <c:pt idx="19">
                  <c:v>10</c:v>
                </c:pt>
                <c:pt idx="20">
                  <c:v>57</c:v>
                </c:pt>
                <c:pt idx="21">
                  <c:v>33</c:v>
                </c:pt>
                <c:pt idx="22">
                  <c:v>1</c:v>
                </c:pt>
                <c:pt idx="23">
                  <c:v>11</c:v>
                </c:pt>
                <c:pt idx="24">
                  <c:v>45</c:v>
                </c:pt>
                <c:pt idx="25">
                  <c:v>40</c:v>
                </c:pt>
                <c:pt idx="26">
                  <c:v>22</c:v>
                </c:pt>
                <c:pt idx="27">
                  <c:v>5</c:v>
                </c:pt>
                <c:pt idx="28">
                  <c:v>58</c:v>
                </c:pt>
                <c:pt idx="29">
                  <c:v>34</c:v>
                </c:pt>
                <c:pt idx="30">
                  <c:v>14</c:v>
                </c:pt>
                <c:pt idx="31">
                  <c:v>46</c:v>
                </c:pt>
                <c:pt idx="32">
                  <c:v>35</c:v>
                </c:pt>
                <c:pt idx="33">
                  <c:v>17</c:v>
                </c:pt>
                <c:pt idx="34">
                  <c:v>28</c:v>
                </c:pt>
                <c:pt idx="35">
                  <c:v>23</c:v>
                </c:pt>
                <c:pt idx="36">
                  <c:v>18</c:v>
                </c:pt>
                <c:pt idx="37">
                  <c:v>59</c:v>
                </c:pt>
                <c:pt idx="38">
                  <c:v>6</c:v>
                </c:pt>
                <c:pt idx="39">
                  <c:v>41</c:v>
                </c:pt>
                <c:pt idx="40">
                  <c:v>21</c:v>
                </c:pt>
                <c:pt idx="41">
                  <c:v>2</c:v>
                </c:pt>
                <c:pt idx="42">
                  <c:v>60</c:v>
                </c:pt>
                <c:pt idx="43">
                  <c:v>36</c:v>
                </c:pt>
                <c:pt idx="44">
                  <c:v>4</c:v>
                </c:pt>
                <c:pt idx="45">
                  <c:v>31</c:v>
                </c:pt>
                <c:pt idx="46">
                  <c:v>47</c:v>
                </c:pt>
                <c:pt idx="47">
                  <c:v>61</c:v>
                </c:pt>
                <c:pt idx="48">
                  <c:v>25</c:v>
                </c:pt>
                <c:pt idx="49">
                  <c:v>26</c:v>
                </c:pt>
                <c:pt idx="50">
                  <c:v>12</c:v>
                </c:pt>
                <c:pt idx="51">
                  <c:v>50</c:v>
                </c:pt>
                <c:pt idx="52">
                  <c:v>9</c:v>
                </c:pt>
                <c:pt idx="53">
                  <c:v>62</c:v>
                </c:pt>
                <c:pt idx="54">
                  <c:v>48</c:v>
                </c:pt>
                <c:pt idx="55">
                  <c:v>52</c:v>
                </c:pt>
                <c:pt idx="56">
                  <c:v>15</c:v>
                </c:pt>
                <c:pt idx="57">
                  <c:v>63</c:v>
                </c:pt>
                <c:pt idx="58">
                  <c:v>51</c:v>
                </c:pt>
                <c:pt idx="59">
                  <c:v>64</c:v>
                </c:pt>
                <c:pt idx="60">
                  <c:v>65</c:v>
                </c:pt>
                <c:pt idx="61">
                  <c:v>66</c:v>
                </c:pt>
                <c:pt idx="62">
                  <c:v>67</c:v>
                </c:pt>
                <c:pt idx="63">
                  <c:v>37</c:v>
                </c:pt>
                <c:pt idx="64">
                  <c:v>49</c:v>
                </c:pt>
                <c:pt idx="65">
                  <c:v>53</c:v>
                </c:pt>
                <c:pt idx="66">
                  <c:v>24</c:v>
                </c:pt>
              </c:numCache>
            </c:numRef>
          </c:cat>
          <c:val>
            <c:numRef>
              <c:f>'Elective Infra-Renal AAA Repair'!$U$8:$U$81</c:f>
              <c:numCache>
                <c:formatCode>0%</c:formatCode>
                <c:ptCount val="74"/>
                <c:pt idx="0">
                  <c:v>0.94</c:v>
                </c:pt>
                <c:pt idx="1">
                  <c:v>0.73</c:v>
                </c:pt>
                <c:pt idx="2">
                  <c:v>1</c:v>
                </c:pt>
                <c:pt idx="3">
                  <c:v>0.87</c:v>
                </c:pt>
                <c:pt idx="4">
                  <c:v>0.96</c:v>
                </c:pt>
                <c:pt idx="5">
                  <c:v>0.96</c:v>
                </c:pt>
                <c:pt idx="6">
                  <c:v>0.84</c:v>
                </c:pt>
                <c:pt idx="7">
                  <c:v>0.97</c:v>
                </c:pt>
                <c:pt idx="8">
                  <c:v>0.89</c:v>
                </c:pt>
                <c:pt idx="9">
                  <c:v>0.63</c:v>
                </c:pt>
                <c:pt idx="10">
                  <c:v>1</c:v>
                </c:pt>
                <c:pt idx="11">
                  <c:v>0.95</c:v>
                </c:pt>
                <c:pt idx="12">
                  <c:v>0.89</c:v>
                </c:pt>
                <c:pt idx="13">
                  <c:v>0.97</c:v>
                </c:pt>
                <c:pt idx="14">
                  <c:v>0.93</c:v>
                </c:pt>
                <c:pt idx="15">
                  <c:v>0.97</c:v>
                </c:pt>
                <c:pt idx="16">
                  <c:v>0.94</c:v>
                </c:pt>
                <c:pt idx="17">
                  <c:v>1</c:v>
                </c:pt>
                <c:pt idx="18">
                  <c:v>0.78</c:v>
                </c:pt>
                <c:pt idx="19">
                  <c:v>0.83</c:v>
                </c:pt>
                <c:pt idx="20">
                  <c:v>1</c:v>
                </c:pt>
                <c:pt idx="21">
                  <c:v>0.95</c:v>
                </c:pt>
                <c:pt idx="22">
                  <c:v>0.5</c:v>
                </c:pt>
                <c:pt idx="23">
                  <c:v>0.83</c:v>
                </c:pt>
                <c:pt idx="24">
                  <c:v>0.97</c:v>
                </c:pt>
                <c:pt idx="25">
                  <c:v>0.96</c:v>
                </c:pt>
                <c:pt idx="26">
                  <c:v>0.9</c:v>
                </c:pt>
                <c:pt idx="27">
                  <c:v>0.64</c:v>
                </c:pt>
                <c:pt idx="28">
                  <c:v>1</c:v>
                </c:pt>
                <c:pt idx="29">
                  <c:v>0.95</c:v>
                </c:pt>
                <c:pt idx="30">
                  <c:v>0.84</c:v>
                </c:pt>
                <c:pt idx="31">
                  <c:v>0.97</c:v>
                </c:pt>
                <c:pt idx="32">
                  <c:v>0.95</c:v>
                </c:pt>
                <c:pt idx="33">
                  <c:v>0.87</c:v>
                </c:pt>
                <c:pt idx="34">
                  <c:v>0.93</c:v>
                </c:pt>
                <c:pt idx="35">
                  <c:v>0.9</c:v>
                </c:pt>
                <c:pt idx="36">
                  <c:v>0.88</c:v>
                </c:pt>
                <c:pt idx="37">
                  <c:v>1</c:v>
                </c:pt>
                <c:pt idx="38">
                  <c:v>0.7</c:v>
                </c:pt>
                <c:pt idx="39">
                  <c:v>0.96</c:v>
                </c:pt>
                <c:pt idx="40">
                  <c:v>0.89</c:v>
                </c:pt>
                <c:pt idx="41">
                  <c:v>0.5</c:v>
                </c:pt>
                <c:pt idx="42">
                  <c:v>1</c:v>
                </c:pt>
                <c:pt idx="43">
                  <c:v>0.95</c:v>
                </c:pt>
                <c:pt idx="44">
                  <c:v>0.63</c:v>
                </c:pt>
                <c:pt idx="45">
                  <c:v>0.94</c:v>
                </c:pt>
                <c:pt idx="46">
                  <c:v>0.97</c:v>
                </c:pt>
                <c:pt idx="47">
                  <c:v>1</c:v>
                </c:pt>
                <c:pt idx="48">
                  <c:v>0.91</c:v>
                </c:pt>
                <c:pt idx="49">
                  <c:v>0.92</c:v>
                </c:pt>
                <c:pt idx="50">
                  <c:v>0.83</c:v>
                </c:pt>
                <c:pt idx="51">
                  <c:v>0.98</c:v>
                </c:pt>
                <c:pt idx="52">
                  <c:v>0.8</c:v>
                </c:pt>
                <c:pt idx="53">
                  <c:v>1</c:v>
                </c:pt>
                <c:pt idx="54">
                  <c:v>0.97</c:v>
                </c:pt>
                <c:pt idx="55">
                  <c:v>0.99</c:v>
                </c:pt>
                <c:pt idx="56">
                  <c:v>0.84</c:v>
                </c:pt>
                <c:pt idx="57">
                  <c:v>1</c:v>
                </c:pt>
                <c:pt idx="58">
                  <c:v>0.98</c:v>
                </c:pt>
                <c:pt idx="59">
                  <c:v>1</c:v>
                </c:pt>
                <c:pt idx="60">
                  <c:v>1</c:v>
                </c:pt>
                <c:pt idx="61">
                  <c:v>1</c:v>
                </c:pt>
                <c:pt idx="62">
                  <c:v>1</c:v>
                </c:pt>
                <c:pt idx="63">
                  <c:v>0.95</c:v>
                </c:pt>
                <c:pt idx="64">
                  <c:v>0.97</c:v>
                </c:pt>
                <c:pt idx="65">
                  <c:v>0.99</c:v>
                </c:pt>
                <c:pt idx="66">
                  <c:v>0.9</c:v>
                </c:pt>
              </c:numCache>
            </c:numRef>
          </c:val>
          <c:extLst>
            <c:ext xmlns:c16="http://schemas.microsoft.com/office/drawing/2014/chart" uri="{C3380CC4-5D6E-409C-BE32-E72D297353CC}">
              <c16:uniqueId val="{00000000-7587-4F21-9138-12B09EFEF40E}"/>
            </c:ext>
          </c:extLst>
        </c:ser>
        <c:dLbls>
          <c:showLegendKey val="0"/>
          <c:showVal val="0"/>
          <c:showCatName val="0"/>
          <c:showSerName val="0"/>
          <c:showPercent val="0"/>
          <c:showBubbleSize val="0"/>
        </c:dLbls>
        <c:axId val="636777608"/>
        <c:axId val="636780232"/>
      </c:areaChart>
      <c:scatterChart>
        <c:scatterStyle val="lineMarker"/>
        <c:varyColors val="0"/>
        <c:ser>
          <c:idx val="1"/>
          <c:order val="1"/>
          <c:tx>
            <c:strRef>
              <c:f>'AAA Summary'!$B$53</c:f>
              <c:strCache>
                <c:ptCount val="1"/>
                <c:pt idx="0">
                  <c:v>Barking, Havering and Redbridge University Hospitals NHS Trust</c:v>
                </c:pt>
              </c:strCache>
            </c:strRef>
          </c:tx>
          <c:spPr>
            <a:ln w="28575" cap="rnd">
              <a:solidFill>
                <a:schemeClr val="accent2"/>
              </a:solidFill>
              <a:round/>
            </a:ln>
            <a:effectLst/>
          </c:spPr>
          <c:marker>
            <c:symbol val="none"/>
          </c:marker>
          <c:errBars>
            <c:errDir val="y"/>
            <c:errBarType val="minus"/>
            <c:errValType val="fixedVal"/>
            <c:noEndCap val="1"/>
            <c:val val="1"/>
            <c:spPr>
              <a:noFill/>
              <a:ln w="15875" cap="flat" cmpd="sng" algn="ctr">
                <a:solidFill>
                  <a:schemeClr val="accent2"/>
                </a:solidFill>
                <a:round/>
              </a:ln>
              <a:effectLst/>
            </c:spPr>
          </c:errBars>
          <c:errBars>
            <c:errDir val="x"/>
            <c:errBarType val="both"/>
            <c:errValType val="fixedVal"/>
            <c:noEndCap val="0"/>
            <c:val val="1"/>
            <c:spPr>
              <a:noFill/>
              <a:ln w="9525" cap="flat" cmpd="sng" algn="ctr">
                <a:noFill/>
                <a:round/>
              </a:ln>
              <a:effectLst/>
            </c:spPr>
          </c:errBars>
          <c:xVal>
            <c:numRef>
              <c:f>'AAA Summary'!$AD$4</c:f>
              <c:numCache>
                <c:formatCode>General</c:formatCode>
                <c:ptCount val="1"/>
                <c:pt idx="0">
                  <c:v>29</c:v>
                </c:pt>
              </c:numCache>
            </c:numRef>
          </c:xVal>
          <c:yVal>
            <c:numRef>
              <c:f>'AAA Summary'!$AB$4</c:f>
              <c:numCache>
                <c:formatCode>General</c:formatCode>
                <c:ptCount val="1"/>
                <c:pt idx="0">
                  <c:v>0.94</c:v>
                </c:pt>
              </c:numCache>
            </c:numRef>
          </c:yVal>
          <c:smooth val="0"/>
          <c:extLst>
            <c:ext xmlns:c16="http://schemas.microsoft.com/office/drawing/2014/chart" uri="{C3380CC4-5D6E-409C-BE32-E72D297353CC}">
              <c16:uniqueId val="{00000001-7587-4F21-9138-12B09EFEF40E}"/>
            </c:ext>
          </c:extLst>
        </c:ser>
        <c:dLbls>
          <c:showLegendKey val="0"/>
          <c:showVal val="0"/>
          <c:showCatName val="0"/>
          <c:showSerName val="0"/>
          <c:showPercent val="0"/>
          <c:showBubbleSize val="0"/>
        </c:dLbls>
        <c:axId val="636777608"/>
        <c:axId val="636780232"/>
      </c:scatterChart>
      <c:dateAx>
        <c:axId val="636777608"/>
        <c:scaling>
          <c:orientation val="minMax"/>
        </c:scaling>
        <c:delete val="1"/>
        <c:axPos val="b"/>
        <c:numFmt formatCode="General" sourceLinked="1"/>
        <c:majorTickMark val="none"/>
        <c:minorTickMark val="none"/>
        <c:tickLblPos val="nextTo"/>
        <c:crossAx val="636780232"/>
        <c:crosses val="autoZero"/>
        <c:auto val="0"/>
        <c:lblOffset val="100"/>
        <c:baseTimeUnit val="days"/>
      </c:dateAx>
      <c:valAx>
        <c:axId val="63678023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6367776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'AAA Summary'!$L$28</c:f>
          <c:strCache>
            <c:ptCount val="1"/>
            <c:pt idx="0">
              <c:v>Median Time (IQR) From Assessment to Procedure (days)</c:v>
            </c:pt>
          </c:strCache>
        </c:strRef>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v>Assessment to AAA Repair</c:v>
          </c:tx>
          <c:spPr>
            <a:ln w="25400" cap="rnd">
              <a:noFill/>
              <a:round/>
            </a:ln>
            <a:effectLst/>
          </c:spPr>
          <c:marker>
            <c:symbol val="diamond"/>
            <c:size val="7"/>
            <c:spPr>
              <a:solidFill>
                <a:schemeClr val="accent1"/>
              </a:solidFill>
              <a:ln w="9525">
                <a:noFill/>
              </a:ln>
              <a:effectLst/>
            </c:spPr>
          </c:marker>
          <c:errBars>
            <c:errDir val="y"/>
            <c:errBarType val="both"/>
            <c:errValType val="cust"/>
            <c:noEndCap val="1"/>
            <c:plus>
              <c:numRef>
                <c:f>'AAA Summary'!$AR$2:$AR$60</c:f>
                <c:numCache>
                  <c:formatCode>General</c:formatCode>
                  <c:ptCount val="59"/>
                  <c:pt idx="0">
                    <c:v>39</c:v>
                  </c:pt>
                  <c:pt idx="1">
                    <c:v>21</c:v>
                  </c:pt>
                  <c:pt idx="2">
                    <c:v>67</c:v>
                  </c:pt>
                  <c:pt idx="3">
                    <c:v>33</c:v>
                  </c:pt>
                  <c:pt idx="4">
                    <c:v>53</c:v>
                  </c:pt>
                  <c:pt idx="5">
                    <c:v>55</c:v>
                  </c:pt>
                  <c:pt idx="6">
                    <c:v>31</c:v>
                  </c:pt>
                  <c:pt idx="7">
                    <c:v>45</c:v>
                  </c:pt>
                  <c:pt idx="8">
                    <c:v>30</c:v>
                  </c:pt>
                  <c:pt idx="9">
                    <c:v>52</c:v>
                  </c:pt>
                  <c:pt idx="10">
                    <c:v>65</c:v>
                  </c:pt>
                  <c:pt idx="11">
                    <c:v>50</c:v>
                  </c:pt>
                  <c:pt idx="12">
                    <c:v>42</c:v>
                  </c:pt>
                  <c:pt idx="13">
                    <c:v>30</c:v>
                  </c:pt>
                  <c:pt idx="14">
                    <c:v>73</c:v>
                  </c:pt>
                  <c:pt idx="15">
                    <c:v>42</c:v>
                  </c:pt>
                  <c:pt idx="16">
                    <c:v>44</c:v>
                  </c:pt>
                  <c:pt idx="17">
                    <c:v>44</c:v>
                  </c:pt>
                  <c:pt idx="18">
                    <c:v>48</c:v>
                  </c:pt>
                  <c:pt idx="19">
                    <c:v>77</c:v>
                  </c:pt>
                  <c:pt idx="20">
                    <c:v>37</c:v>
                  </c:pt>
                  <c:pt idx="21">
                    <c:v>76</c:v>
                  </c:pt>
                  <c:pt idx="22">
                    <c:v>29</c:v>
                  </c:pt>
                  <c:pt idx="23">
                    <c:v>82</c:v>
                  </c:pt>
                  <c:pt idx="24">
                    <c:v>78</c:v>
                  </c:pt>
                  <c:pt idx="25">
                    <c:v>45</c:v>
                  </c:pt>
                  <c:pt idx="26">
                    <c:v>49</c:v>
                  </c:pt>
                  <c:pt idx="27">
                    <c:v>30</c:v>
                  </c:pt>
                  <c:pt idx="28">
                    <c:v>36</c:v>
                  </c:pt>
                  <c:pt idx="29">
                    <c:v>71</c:v>
                  </c:pt>
                  <c:pt idx="30">
                    <c:v>35</c:v>
                  </c:pt>
                  <c:pt idx="31">
                    <c:v>56</c:v>
                  </c:pt>
                  <c:pt idx="32">
                    <c:v>57</c:v>
                  </c:pt>
                  <c:pt idx="33">
                    <c:v>24</c:v>
                  </c:pt>
                  <c:pt idx="34">
                    <c:v>74</c:v>
                  </c:pt>
                  <c:pt idx="35">
                    <c:v>26</c:v>
                  </c:pt>
                  <c:pt idx="36">
                    <c:v>51</c:v>
                  </c:pt>
                  <c:pt idx="37">
                    <c:v>30</c:v>
                  </c:pt>
                  <c:pt idx="38">
                    <c:v>101</c:v>
                  </c:pt>
                  <c:pt idx="39">
                    <c:v>46</c:v>
                  </c:pt>
                  <c:pt idx="40">
                    <c:v>73</c:v>
                  </c:pt>
                  <c:pt idx="41">
                    <c:v>78</c:v>
                  </c:pt>
                  <c:pt idx="42">
                    <c:v>19</c:v>
                  </c:pt>
                  <c:pt idx="43">
                    <c:v>79</c:v>
                  </c:pt>
                  <c:pt idx="44">
                    <c:v>41</c:v>
                  </c:pt>
                  <c:pt idx="45">
                    <c:v>85</c:v>
                  </c:pt>
                  <c:pt idx="46">
                    <c:v>80</c:v>
                  </c:pt>
                  <c:pt idx="47">
                    <c:v>50</c:v>
                  </c:pt>
                  <c:pt idx="48">
                    <c:v>45</c:v>
                  </c:pt>
                  <c:pt idx="49">
                    <c:v>74</c:v>
                  </c:pt>
                  <c:pt idx="50">
                    <c:v>75</c:v>
                  </c:pt>
                  <c:pt idx="51">
                    <c:v>132</c:v>
                  </c:pt>
                  <c:pt idx="52">
                    <c:v>36</c:v>
                  </c:pt>
                  <c:pt idx="53">
                    <c:v>35</c:v>
                  </c:pt>
                  <c:pt idx="54">
                    <c:v>61</c:v>
                  </c:pt>
                  <c:pt idx="55">
                    <c:v>101</c:v>
                  </c:pt>
                  <c:pt idx="56">
                    <c:v>56</c:v>
                  </c:pt>
                  <c:pt idx="57">
                    <c:v>20</c:v>
                  </c:pt>
                  <c:pt idx="58">
                    <c:v>141</c:v>
                  </c:pt>
                </c:numCache>
              </c:numRef>
            </c:plus>
            <c:minus>
              <c:numRef>
                <c:f>'AAA Summary'!$AQ$2:$AQ$60</c:f>
                <c:numCache>
                  <c:formatCode>General</c:formatCode>
                  <c:ptCount val="59"/>
                  <c:pt idx="0">
                    <c:v>18</c:v>
                  </c:pt>
                  <c:pt idx="1">
                    <c:v>12</c:v>
                  </c:pt>
                  <c:pt idx="2">
                    <c:v>34</c:v>
                  </c:pt>
                  <c:pt idx="3">
                    <c:v>10</c:v>
                  </c:pt>
                  <c:pt idx="4">
                    <c:v>33</c:v>
                  </c:pt>
                  <c:pt idx="5">
                    <c:v>19</c:v>
                  </c:pt>
                  <c:pt idx="6">
                    <c:v>14</c:v>
                  </c:pt>
                  <c:pt idx="7">
                    <c:v>21</c:v>
                  </c:pt>
                  <c:pt idx="8">
                    <c:v>26</c:v>
                  </c:pt>
                  <c:pt idx="9">
                    <c:v>32</c:v>
                  </c:pt>
                  <c:pt idx="10">
                    <c:v>24</c:v>
                  </c:pt>
                  <c:pt idx="11">
                    <c:v>25</c:v>
                  </c:pt>
                  <c:pt idx="12">
                    <c:v>13</c:v>
                  </c:pt>
                  <c:pt idx="13">
                    <c:v>20</c:v>
                  </c:pt>
                  <c:pt idx="14">
                    <c:v>37</c:v>
                  </c:pt>
                  <c:pt idx="15">
                    <c:v>22</c:v>
                  </c:pt>
                  <c:pt idx="16">
                    <c:v>23</c:v>
                  </c:pt>
                  <c:pt idx="17">
                    <c:v>35</c:v>
                  </c:pt>
                  <c:pt idx="18">
                    <c:v>26</c:v>
                  </c:pt>
                  <c:pt idx="19">
                    <c:v>27</c:v>
                  </c:pt>
                  <c:pt idx="20">
                    <c:v>40</c:v>
                  </c:pt>
                  <c:pt idx="21">
                    <c:v>11</c:v>
                  </c:pt>
                  <c:pt idx="22">
                    <c:v>25</c:v>
                  </c:pt>
                  <c:pt idx="23">
                    <c:v>43</c:v>
                  </c:pt>
                  <c:pt idx="24">
                    <c:v>31</c:v>
                  </c:pt>
                  <c:pt idx="25">
                    <c:v>45</c:v>
                  </c:pt>
                  <c:pt idx="26">
                    <c:v>39</c:v>
                  </c:pt>
                  <c:pt idx="27">
                    <c:v>46</c:v>
                  </c:pt>
                  <c:pt idx="28">
                    <c:v>29</c:v>
                  </c:pt>
                  <c:pt idx="29">
                    <c:v>28</c:v>
                  </c:pt>
                  <c:pt idx="30">
                    <c:v>38</c:v>
                  </c:pt>
                  <c:pt idx="31">
                    <c:v>41</c:v>
                  </c:pt>
                  <c:pt idx="32">
                    <c:v>35</c:v>
                  </c:pt>
                  <c:pt idx="33">
                    <c:v>33</c:v>
                  </c:pt>
                  <c:pt idx="34">
                    <c:v>40</c:v>
                  </c:pt>
                  <c:pt idx="35">
                    <c:v>32</c:v>
                  </c:pt>
                  <c:pt idx="36">
                    <c:v>27</c:v>
                  </c:pt>
                  <c:pt idx="37">
                    <c:v>39</c:v>
                  </c:pt>
                  <c:pt idx="38">
                    <c:v>31</c:v>
                  </c:pt>
                  <c:pt idx="39">
                    <c:v>39</c:v>
                  </c:pt>
                  <c:pt idx="40">
                    <c:v>64</c:v>
                  </c:pt>
                  <c:pt idx="41">
                    <c:v>34</c:v>
                  </c:pt>
                  <c:pt idx="42">
                    <c:v>49</c:v>
                  </c:pt>
                  <c:pt idx="43">
                    <c:v>60</c:v>
                  </c:pt>
                  <c:pt idx="44">
                    <c:v>39</c:v>
                  </c:pt>
                  <c:pt idx="45">
                    <c:v>49</c:v>
                  </c:pt>
                  <c:pt idx="46">
                    <c:v>47</c:v>
                  </c:pt>
                  <c:pt idx="47">
                    <c:v>48</c:v>
                  </c:pt>
                  <c:pt idx="48">
                    <c:v>41</c:v>
                  </c:pt>
                  <c:pt idx="49">
                    <c:v>25</c:v>
                  </c:pt>
                  <c:pt idx="50">
                    <c:v>55</c:v>
                  </c:pt>
                  <c:pt idx="51">
                    <c:v>45</c:v>
                  </c:pt>
                  <c:pt idx="52">
                    <c:v>50</c:v>
                  </c:pt>
                  <c:pt idx="53">
                    <c:v>41</c:v>
                  </c:pt>
                  <c:pt idx="54">
                    <c:v>70</c:v>
                  </c:pt>
                  <c:pt idx="55">
                    <c:v>57</c:v>
                  </c:pt>
                  <c:pt idx="56">
                    <c:v>63</c:v>
                  </c:pt>
                  <c:pt idx="57">
                    <c:v>55</c:v>
                  </c:pt>
                  <c:pt idx="58">
                    <c:v>91</c:v>
                  </c:pt>
                </c:numCache>
              </c:numRef>
            </c:minus>
            <c:spPr>
              <a:noFill/>
              <a:ln w="12700" cap="flat" cmpd="sng" algn="ctr">
                <a:solidFill>
                  <a:schemeClr val="tx1">
                    <a:lumMod val="65000"/>
                    <a:lumOff val="35000"/>
                  </a:schemeClr>
                </a:solidFill>
                <a:round/>
              </a:ln>
              <a:effectLst/>
            </c:spPr>
          </c:errBars>
          <c:cat>
            <c:strRef>
              <c:f>'AAA Summary'!$AM$2:$AM$60</c:f>
              <c:strCache>
                <c:ptCount val="59"/>
                <c:pt idx="0">
                  <c:v>RM1</c:v>
                </c:pt>
                <c:pt idx="1">
                  <c:v>RH8</c:v>
                </c:pt>
                <c:pt idx="2">
                  <c:v>RNA</c:v>
                </c:pt>
                <c:pt idx="3">
                  <c:v>REF</c:v>
                </c:pt>
                <c:pt idx="4">
                  <c:v>SH999</c:v>
                </c:pt>
                <c:pt idx="5">
                  <c:v>SG999</c:v>
                </c:pt>
                <c:pt idx="6">
                  <c:v>RAE</c:v>
                </c:pt>
                <c:pt idx="7">
                  <c:v>RHQ</c:v>
                </c:pt>
                <c:pt idx="8">
                  <c:v>RXR</c:v>
                </c:pt>
                <c:pt idx="9">
                  <c:v>RJR</c:v>
                </c:pt>
                <c:pt idx="10">
                  <c:v>RC9</c:v>
                </c:pt>
                <c:pt idx="11">
                  <c:v>RDE</c:v>
                </c:pt>
                <c:pt idx="12">
                  <c:v>RM3</c:v>
                </c:pt>
                <c:pt idx="13">
                  <c:v>RHM</c:v>
                </c:pt>
                <c:pt idx="14">
                  <c:v>RTG</c:v>
                </c:pt>
                <c:pt idx="15">
                  <c:v>RH5</c:v>
                </c:pt>
                <c:pt idx="16">
                  <c:v>RK9</c:v>
                </c:pt>
                <c:pt idx="17">
                  <c:v>RWP</c:v>
                </c:pt>
                <c:pt idx="18">
                  <c:v>R0B</c:v>
                </c:pt>
                <c:pt idx="19">
                  <c:v>RR8</c:v>
                </c:pt>
                <c:pt idx="20">
                  <c:v>RCB</c:v>
                </c:pt>
                <c:pt idx="21">
                  <c:v>RF4</c:v>
                </c:pt>
                <c:pt idx="22">
                  <c:v>RJ7</c:v>
                </c:pt>
                <c:pt idx="23">
                  <c:v>7A1</c:v>
                </c:pt>
                <c:pt idx="24">
                  <c:v>RXW</c:v>
                </c:pt>
                <c:pt idx="25">
                  <c:v>RTE</c:v>
                </c:pt>
                <c:pt idx="26">
                  <c:v>RXN</c:v>
                </c:pt>
                <c:pt idx="27">
                  <c:v>RWG</c:v>
                </c:pt>
                <c:pt idx="28">
                  <c:v>RVV</c:v>
                </c:pt>
                <c:pt idx="29">
                  <c:v>RWH</c:v>
                </c:pt>
                <c:pt idx="30">
                  <c:v>RNS</c:v>
                </c:pt>
                <c:pt idx="31">
                  <c:v>R0D</c:v>
                </c:pt>
                <c:pt idx="32">
                  <c:v>R0A</c:v>
                </c:pt>
                <c:pt idx="33">
                  <c:v>RX1</c:v>
                </c:pt>
                <c:pt idx="34">
                  <c:v>RTD</c:v>
                </c:pt>
                <c:pt idx="35">
                  <c:v>RWA</c:v>
                </c:pt>
                <c:pt idx="36">
                  <c:v>RVJ</c:v>
                </c:pt>
                <c:pt idx="37">
                  <c:v>RYJ</c:v>
                </c:pt>
                <c:pt idx="38">
                  <c:v>RNN</c:v>
                </c:pt>
                <c:pt idx="39">
                  <c:v>RGT</c:v>
                </c:pt>
                <c:pt idx="40">
                  <c:v>RDU</c:v>
                </c:pt>
                <c:pt idx="41">
                  <c:v>RTR</c:v>
                </c:pt>
                <c:pt idx="42">
                  <c:v>SS999</c:v>
                </c:pt>
                <c:pt idx="43">
                  <c:v>RJE</c:v>
                </c:pt>
                <c:pt idx="44">
                  <c:v>RKB</c:v>
                </c:pt>
                <c:pt idx="45">
                  <c:v>RAL</c:v>
                </c:pt>
                <c:pt idx="46">
                  <c:v>RWD</c:v>
                </c:pt>
                <c:pt idx="47">
                  <c:v>RAJ</c:v>
                </c:pt>
                <c:pt idx="48">
                  <c:v>RJ1</c:v>
                </c:pt>
                <c:pt idx="49">
                  <c:v>RWE</c:v>
                </c:pt>
                <c:pt idx="50">
                  <c:v>RTH</c:v>
                </c:pt>
                <c:pt idx="51">
                  <c:v>RRK</c:v>
                </c:pt>
                <c:pt idx="52">
                  <c:v>7A4</c:v>
                </c:pt>
                <c:pt idx="53">
                  <c:v>RYR</c:v>
                </c:pt>
                <c:pt idx="54">
                  <c:v>REM</c:v>
                </c:pt>
                <c:pt idx="55">
                  <c:v>SL999</c:v>
                </c:pt>
                <c:pt idx="56">
                  <c:v>ZT001</c:v>
                </c:pt>
                <c:pt idx="57">
                  <c:v>ST999</c:v>
                </c:pt>
                <c:pt idx="58">
                  <c:v>7A3</c:v>
                </c:pt>
              </c:strCache>
            </c:strRef>
          </c:cat>
          <c:val>
            <c:numRef>
              <c:f>'AAA Summary'!$AP$2:$AP$60</c:f>
              <c:numCache>
                <c:formatCode>0</c:formatCode>
                <c:ptCount val="59"/>
                <c:pt idx="0">
                  <c:v>41</c:v>
                </c:pt>
                <c:pt idx="1">
                  <c:v>47</c:v>
                </c:pt>
                <c:pt idx="2">
                  <c:v>48</c:v>
                </c:pt>
                <c:pt idx="3">
                  <c:v>50</c:v>
                </c:pt>
                <c:pt idx="4">
                  <c:v>52</c:v>
                </c:pt>
                <c:pt idx="5">
                  <c:v>52</c:v>
                </c:pt>
                <c:pt idx="6">
                  <c:v>53</c:v>
                </c:pt>
                <c:pt idx="7">
                  <c:v>56</c:v>
                </c:pt>
                <c:pt idx="8">
                  <c:v>57</c:v>
                </c:pt>
                <c:pt idx="9">
                  <c:v>59</c:v>
                </c:pt>
                <c:pt idx="10">
                  <c:v>59</c:v>
                </c:pt>
                <c:pt idx="11">
                  <c:v>60</c:v>
                </c:pt>
                <c:pt idx="12">
                  <c:v>61</c:v>
                </c:pt>
                <c:pt idx="13">
                  <c:v>65</c:v>
                </c:pt>
                <c:pt idx="14">
                  <c:v>66</c:v>
                </c:pt>
                <c:pt idx="15">
                  <c:v>69</c:v>
                </c:pt>
                <c:pt idx="16">
                  <c:v>69</c:v>
                </c:pt>
                <c:pt idx="17">
                  <c:v>69</c:v>
                </c:pt>
                <c:pt idx="18">
                  <c:v>69</c:v>
                </c:pt>
                <c:pt idx="19">
                  <c:v>69</c:v>
                </c:pt>
                <c:pt idx="20">
                  <c:v>70</c:v>
                </c:pt>
                <c:pt idx="21">
                  <c:v>71</c:v>
                </c:pt>
                <c:pt idx="22">
                  <c:v>74</c:v>
                </c:pt>
                <c:pt idx="23">
                  <c:v>74</c:v>
                </c:pt>
                <c:pt idx="24">
                  <c:v>75</c:v>
                </c:pt>
                <c:pt idx="25">
                  <c:v>77</c:v>
                </c:pt>
                <c:pt idx="26">
                  <c:v>77</c:v>
                </c:pt>
                <c:pt idx="27">
                  <c:v>78</c:v>
                </c:pt>
                <c:pt idx="28">
                  <c:v>78</c:v>
                </c:pt>
                <c:pt idx="29">
                  <c:v>79</c:v>
                </c:pt>
                <c:pt idx="30">
                  <c:v>84</c:v>
                </c:pt>
                <c:pt idx="31">
                  <c:v>84</c:v>
                </c:pt>
                <c:pt idx="32">
                  <c:v>84</c:v>
                </c:pt>
                <c:pt idx="33">
                  <c:v>86</c:v>
                </c:pt>
                <c:pt idx="34">
                  <c:v>89</c:v>
                </c:pt>
                <c:pt idx="35">
                  <c:v>90</c:v>
                </c:pt>
                <c:pt idx="36">
                  <c:v>90</c:v>
                </c:pt>
                <c:pt idx="37">
                  <c:v>92</c:v>
                </c:pt>
                <c:pt idx="38">
                  <c:v>93</c:v>
                </c:pt>
                <c:pt idx="39">
                  <c:v>95</c:v>
                </c:pt>
                <c:pt idx="40">
                  <c:v>98</c:v>
                </c:pt>
                <c:pt idx="41">
                  <c:v>98</c:v>
                </c:pt>
                <c:pt idx="42">
                  <c:v>101</c:v>
                </c:pt>
                <c:pt idx="43">
                  <c:v>103</c:v>
                </c:pt>
                <c:pt idx="44">
                  <c:v>104</c:v>
                </c:pt>
                <c:pt idx="45">
                  <c:v>104</c:v>
                </c:pt>
                <c:pt idx="46">
                  <c:v>106</c:v>
                </c:pt>
                <c:pt idx="47">
                  <c:v>107</c:v>
                </c:pt>
                <c:pt idx="48">
                  <c:v>111</c:v>
                </c:pt>
                <c:pt idx="49">
                  <c:v>111</c:v>
                </c:pt>
                <c:pt idx="50">
                  <c:v>118</c:v>
                </c:pt>
                <c:pt idx="51">
                  <c:v>125</c:v>
                </c:pt>
                <c:pt idx="52">
                  <c:v>128</c:v>
                </c:pt>
                <c:pt idx="53">
                  <c:v>131</c:v>
                </c:pt>
                <c:pt idx="54">
                  <c:v>146</c:v>
                </c:pt>
                <c:pt idx="55">
                  <c:v>147</c:v>
                </c:pt>
                <c:pt idx="56">
                  <c:v>148</c:v>
                </c:pt>
                <c:pt idx="57">
                  <c:v>157</c:v>
                </c:pt>
                <c:pt idx="58">
                  <c:v>187</c:v>
                </c:pt>
              </c:numCache>
            </c:numRef>
          </c:val>
          <c:smooth val="0"/>
          <c:extLst>
            <c:ext xmlns:c16="http://schemas.microsoft.com/office/drawing/2014/chart" uri="{C3380CC4-5D6E-409C-BE32-E72D297353CC}">
              <c16:uniqueId val="{00000000-E39C-4BE3-9843-226C8F809EB9}"/>
            </c:ext>
          </c:extLst>
        </c:ser>
        <c:dLbls>
          <c:showLegendKey val="0"/>
          <c:showVal val="0"/>
          <c:showCatName val="0"/>
          <c:showSerName val="0"/>
          <c:showPercent val="0"/>
          <c:showBubbleSize val="0"/>
        </c:dLbls>
        <c:marker val="1"/>
        <c:smooth val="0"/>
        <c:axId val="606186136"/>
        <c:axId val="606183840"/>
      </c:lineChart>
      <c:scatterChart>
        <c:scatterStyle val="lineMarker"/>
        <c:varyColors val="0"/>
        <c:ser>
          <c:idx val="1"/>
          <c:order val="1"/>
          <c:tx>
            <c:strRef>
              <c:f>'AAA Summary'!$B$1</c:f>
              <c:strCache>
                <c:ptCount val="1"/>
                <c:pt idx="0">
                  <c:v>Barking, Havering and Redbridge University Hospitals NHS Trust</c:v>
                </c:pt>
              </c:strCache>
            </c:strRef>
          </c:tx>
          <c:spPr>
            <a:ln w="25400" cap="rnd">
              <a:noFill/>
              <a:round/>
            </a:ln>
            <a:effectLst/>
          </c:spPr>
          <c:marker>
            <c:symbol val="circle"/>
            <c:size val="5"/>
            <c:spPr>
              <a:solidFill>
                <a:schemeClr val="accent2"/>
              </a:solidFill>
              <a:ln w="9525">
                <a:solidFill>
                  <a:schemeClr val="accent2"/>
                </a:solidFill>
              </a:ln>
              <a:effectLst/>
            </c:spPr>
          </c:marker>
          <c:errBars>
            <c:errDir val="y"/>
            <c:errBarType val="both"/>
            <c:errValType val="cust"/>
            <c:noEndCap val="1"/>
            <c:plus>
              <c:numRef>
                <c:f>'AAA Summary'!$AV$2</c:f>
                <c:numCache>
                  <c:formatCode>General</c:formatCode>
                  <c:ptCount val="1"/>
                  <c:pt idx="0">
                    <c:v>76</c:v>
                  </c:pt>
                </c:numCache>
              </c:numRef>
            </c:plus>
            <c:minus>
              <c:numRef>
                <c:f>'AAA Summary'!$AW$2</c:f>
                <c:numCache>
                  <c:formatCode>General</c:formatCode>
                  <c:ptCount val="1"/>
                  <c:pt idx="0">
                    <c:v>11</c:v>
                  </c:pt>
                </c:numCache>
              </c:numRef>
            </c:minus>
            <c:spPr>
              <a:noFill/>
              <a:ln w="9525" cap="flat" cmpd="sng" algn="ctr">
                <a:solidFill>
                  <a:srgbClr val="FF0000"/>
                </a:solidFill>
                <a:round/>
              </a:ln>
              <a:effectLst/>
            </c:spPr>
          </c:errBars>
          <c:xVal>
            <c:numRef>
              <c:f>'AAA Summary'!$AU$2</c:f>
              <c:numCache>
                <c:formatCode>General</c:formatCode>
                <c:ptCount val="1"/>
                <c:pt idx="0">
                  <c:v>22</c:v>
                </c:pt>
              </c:numCache>
            </c:numRef>
          </c:xVal>
          <c:yVal>
            <c:numRef>
              <c:f>'AAA Summary'!$AT$2</c:f>
              <c:numCache>
                <c:formatCode>General</c:formatCode>
                <c:ptCount val="1"/>
                <c:pt idx="0">
                  <c:v>71</c:v>
                </c:pt>
              </c:numCache>
            </c:numRef>
          </c:yVal>
          <c:smooth val="0"/>
          <c:extLst>
            <c:ext xmlns:c16="http://schemas.microsoft.com/office/drawing/2014/chart" uri="{C3380CC4-5D6E-409C-BE32-E72D297353CC}">
              <c16:uniqueId val="{00000001-E39C-4BE3-9843-226C8F809EB9}"/>
            </c:ext>
          </c:extLst>
        </c:ser>
        <c:ser>
          <c:idx val="2"/>
          <c:order val="2"/>
          <c:tx>
            <c:v>National Standard</c:v>
          </c:tx>
          <c:spPr>
            <a:ln w="9525" cap="rnd">
              <a:solidFill>
                <a:srgbClr val="FF0000"/>
              </a:solidFill>
              <a:round/>
            </a:ln>
            <a:effectLst/>
          </c:spPr>
          <c:marker>
            <c:symbol val="none"/>
          </c:marker>
          <c:xVal>
            <c:numRef>
              <c:f>'AAA Summary'!$AO$2:$AO$60</c:f>
              <c:numCache>
                <c:formatCode>0</c:formatCode>
                <c:ptCount val="5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numCache>
            </c:numRef>
          </c:xVal>
          <c:yVal>
            <c:numRef>
              <c:f>'AAA Summary'!$AS$2:$AS$60</c:f>
              <c:numCache>
                <c:formatCode>0</c:formatCode>
                <c:ptCount val="59"/>
                <c:pt idx="0">
                  <c:v>56</c:v>
                </c:pt>
                <c:pt idx="1">
                  <c:v>56</c:v>
                </c:pt>
                <c:pt idx="2">
                  <c:v>56</c:v>
                </c:pt>
                <c:pt idx="3">
                  <c:v>56</c:v>
                </c:pt>
                <c:pt idx="4">
                  <c:v>56</c:v>
                </c:pt>
                <c:pt idx="5">
                  <c:v>56</c:v>
                </c:pt>
                <c:pt idx="6">
                  <c:v>56</c:v>
                </c:pt>
                <c:pt idx="7">
                  <c:v>56</c:v>
                </c:pt>
                <c:pt idx="8">
                  <c:v>56</c:v>
                </c:pt>
                <c:pt idx="9">
                  <c:v>56</c:v>
                </c:pt>
                <c:pt idx="10">
                  <c:v>56</c:v>
                </c:pt>
                <c:pt idx="11">
                  <c:v>56</c:v>
                </c:pt>
                <c:pt idx="12">
                  <c:v>56</c:v>
                </c:pt>
                <c:pt idx="13">
                  <c:v>56</c:v>
                </c:pt>
                <c:pt idx="14">
                  <c:v>56</c:v>
                </c:pt>
                <c:pt idx="15">
                  <c:v>56</c:v>
                </c:pt>
                <c:pt idx="16">
                  <c:v>56</c:v>
                </c:pt>
                <c:pt idx="17">
                  <c:v>56</c:v>
                </c:pt>
                <c:pt idx="18">
                  <c:v>56</c:v>
                </c:pt>
                <c:pt idx="19">
                  <c:v>56</c:v>
                </c:pt>
                <c:pt idx="20">
                  <c:v>56</c:v>
                </c:pt>
                <c:pt idx="21">
                  <c:v>56</c:v>
                </c:pt>
                <c:pt idx="22">
                  <c:v>56</c:v>
                </c:pt>
                <c:pt idx="23">
                  <c:v>56</c:v>
                </c:pt>
                <c:pt idx="24">
                  <c:v>56</c:v>
                </c:pt>
                <c:pt idx="25">
                  <c:v>56</c:v>
                </c:pt>
                <c:pt idx="26">
                  <c:v>56</c:v>
                </c:pt>
                <c:pt idx="27">
                  <c:v>56</c:v>
                </c:pt>
                <c:pt idx="28">
                  <c:v>56</c:v>
                </c:pt>
                <c:pt idx="29">
                  <c:v>56</c:v>
                </c:pt>
                <c:pt idx="30">
                  <c:v>56</c:v>
                </c:pt>
                <c:pt idx="31">
                  <c:v>56</c:v>
                </c:pt>
                <c:pt idx="32">
                  <c:v>56</c:v>
                </c:pt>
                <c:pt idx="33">
                  <c:v>56</c:v>
                </c:pt>
                <c:pt idx="34">
                  <c:v>56</c:v>
                </c:pt>
                <c:pt idx="35">
                  <c:v>56</c:v>
                </c:pt>
                <c:pt idx="36">
                  <c:v>56</c:v>
                </c:pt>
                <c:pt idx="37">
                  <c:v>56</c:v>
                </c:pt>
                <c:pt idx="38">
                  <c:v>56</c:v>
                </c:pt>
                <c:pt idx="39">
                  <c:v>56</c:v>
                </c:pt>
                <c:pt idx="40">
                  <c:v>56</c:v>
                </c:pt>
                <c:pt idx="41">
                  <c:v>56</c:v>
                </c:pt>
                <c:pt idx="42">
                  <c:v>56</c:v>
                </c:pt>
                <c:pt idx="43">
                  <c:v>56</c:v>
                </c:pt>
                <c:pt idx="44">
                  <c:v>56</c:v>
                </c:pt>
                <c:pt idx="45">
                  <c:v>56</c:v>
                </c:pt>
                <c:pt idx="46">
                  <c:v>56</c:v>
                </c:pt>
                <c:pt idx="47">
                  <c:v>56</c:v>
                </c:pt>
                <c:pt idx="48">
                  <c:v>56</c:v>
                </c:pt>
                <c:pt idx="49">
                  <c:v>56</c:v>
                </c:pt>
                <c:pt idx="50">
                  <c:v>56</c:v>
                </c:pt>
                <c:pt idx="51">
                  <c:v>56</c:v>
                </c:pt>
                <c:pt idx="52">
                  <c:v>56</c:v>
                </c:pt>
                <c:pt idx="53">
                  <c:v>56</c:v>
                </c:pt>
                <c:pt idx="54">
                  <c:v>56</c:v>
                </c:pt>
                <c:pt idx="55">
                  <c:v>56</c:v>
                </c:pt>
                <c:pt idx="56">
                  <c:v>56</c:v>
                </c:pt>
                <c:pt idx="57">
                  <c:v>56</c:v>
                </c:pt>
                <c:pt idx="58">
                  <c:v>56</c:v>
                </c:pt>
              </c:numCache>
            </c:numRef>
          </c:yVal>
          <c:smooth val="0"/>
          <c:extLst>
            <c:ext xmlns:c16="http://schemas.microsoft.com/office/drawing/2014/chart" uri="{C3380CC4-5D6E-409C-BE32-E72D297353CC}">
              <c16:uniqueId val="{00000002-E39C-4BE3-9843-226C8F809EB9}"/>
            </c:ext>
          </c:extLst>
        </c:ser>
        <c:dLbls>
          <c:showLegendKey val="0"/>
          <c:showVal val="0"/>
          <c:showCatName val="0"/>
          <c:showSerName val="0"/>
          <c:showPercent val="0"/>
          <c:showBubbleSize val="0"/>
        </c:dLbls>
        <c:axId val="606186136"/>
        <c:axId val="606183840"/>
      </c:scatterChart>
      <c:catAx>
        <c:axId val="606186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606183840"/>
        <c:crosses val="autoZero"/>
        <c:auto val="1"/>
        <c:lblAlgn val="ctr"/>
        <c:lblOffset val="100"/>
        <c:noMultiLvlLbl val="0"/>
      </c:catAx>
      <c:valAx>
        <c:axId val="6061838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606186136"/>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'LL Revascularisation Summary'!$E$1:$G$1</c:f>
          <c:strCache>
            <c:ptCount val="3"/>
            <c:pt idx="0">
              <c:v>Treated within 5 days 2022</c:v>
            </c:pt>
          </c:strCache>
        </c:strRef>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strRef>
              <c:f>'LL Revascularisation Summary'!$E$1:$G$1</c:f>
              <c:strCache>
                <c:ptCount val="1"/>
                <c:pt idx="0">
                  <c:v>Treated within 5 days 2022</c:v>
                </c:pt>
              </c:strCache>
            </c:strRef>
          </c:tx>
          <c:spPr>
            <a:ln w="28575" cap="rnd">
              <a:noFill/>
              <a:round/>
            </a:ln>
            <a:effectLst/>
          </c:spPr>
          <c:marker>
            <c:symbol val="diamond"/>
            <c:size val="7"/>
            <c:spPr>
              <a:solidFill>
                <a:schemeClr val="accent1"/>
              </a:solidFill>
              <a:ln w="9525">
                <a:noFill/>
              </a:ln>
              <a:effectLst/>
            </c:spPr>
          </c:marker>
          <c:errBars>
            <c:errDir val="y"/>
            <c:errBarType val="both"/>
            <c:errValType val="cust"/>
            <c:noEndCap val="1"/>
            <c:plus>
              <c:numRef>
                <c:f>'LL Revascularisation Summary'!$AT$2:$AT$66</c:f>
                <c:numCache>
                  <c:formatCode>General</c:formatCode>
                  <c:ptCount val="65"/>
                  <c:pt idx="0">
                    <c:v>13</c:v>
                  </c:pt>
                  <c:pt idx="1">
                    <c:v>10</c:v>
                  </c:pt>
                  <c:pt idx="2">
                    <c:v>14</c:v>
                  </c:pt>
                  <c:pt idx="3">
                    <c:v>11</c:v>
                  </c:pt>
                  <c:pt idx="4">
                    <c:v>18</c:v>
                  </c:pt>
                  <c:pt idx="5">
                    <c:v>9</c:v>
                  </c:pt>
                  <c:pt idx="6">
                    <c:v>13</c:v>
                  </c:pt>
                  <c:pt idx="7">
                    <c:v>8</c:v>
                  </c:pt>
                  <c:pt idx="8">
                    <c:v>13</c:v>
                  </c:pt>
                  <c:pt idx="9">
                    <c:v>20</c:v>
                  </c:pt>
                  <c:pt idx="10">
                    <c:v>13</c:v>
                  </c:pt>
                  <c:pt idx="11">
                    <c:v>11</c:v>
                  </c:pt>
                  <c:pt idx="12">
                    <c:v>8</c:v>
                  </c:pt>
                  <c:pt idx="13">
                    <c:v>14</c:v>
                  </c:pt>
                  <c:pt idx="14">
                    <c:v>8</c:v>
                  </c:pt>
                  <c:pt idx="15">
                    <c:v>10</c:v>
                  </c:pt>
                  <c:pt idx="16">
                    <c:v>7</c:v>
                  </c:pt>
                  <c:pt idx="17">
                    <c:v>20</c:v>
                  </c:pt>
                  <c:pt idx="18">
                    <c:v>20</c:v>
                  </c:pt>
                  <c:pt idx="19">
                    <c:v>12</c:v>
                  </c:pt>
                  <c:pt idx="20">
                    <c:v>9</c:v>
                  </c:pt>
                  <c:pt idx="21">
                    <c:v>28</c:v>
                  </c:pt>
                  <c:pt idx="22">
                    <c:v>24</c:v>
                  </c:pt>
                  <c:pt idx="23">
                    <c:v>12</c:v>
                  </c:pt>
                  <c:pt idx="24">
                    <c:v>13</c:v>
                  </c:pt>
                  <c:pt idx="25">
                    <c:v>19</c:v>
                  </c:pt>
                  <c:pt idx="26">
                    <c:v>9</c:v>
                  </c:pt>
                  <c:pt idx="27">
                    <c:v>12</c:v>
                  </c:pt>
                  <c:pt idx="28">
                    <c:v>22</c:v>
                  </c:pt>
                  <c:pt idx="29">
                    <c:v>14</c:v>
                  </c:pt>
                  <c:pt idx="30">
                    <c:v>12</c:v>
                  </c:pt>
                  <c:pt idx="31">
                    <c:v>13</c:v>
                  </c:pt>
                  <c:pt idx="32">
                    <c:v>13</c:v>
                  </c:pt>
                  <c:pt idx="33">
                    <c:v>12</c:v>
                  </c:pt>
                  <c:pt idx="34">
                    <c:v>10</c:v>
                  </c:pt>
                  <c:pt idx="35">
                    <c:v>14</c:v>
                  </c:pt>
                  <c:pt idx="36">
                    <c:v>19</c:v>
                  </c:pt>
                  <c:pt idx="37">
                    <c:v>15</c:v>
                  </c:pt>
                  <c:pt idx="38">
                    <c:v>29</c:v>
                  </c:pt>
                  <c:pt idx="39">
                    <c:v>14</c:v>
                  </c:pt>
                  <c:pt idx="40">
                    <c:v>12</c:v>
                  </c:pt>
                  <c:pt idx="41">
                    <c:v>8.9999999999999929</c:v>
                  </c:pt>
                  <c:pt idx="42">
                    <c:v>11</c:v>
                  </c:pt>
                  <c:pt idx="43">
                    <c:v>9.9999999999999929</c:v>
                  </c:pt>
                  <c:pt idx="44">
                    <c:v>7</c:v>
                  </c:pt>
                  <c:pt idx="45">
                    <c:v>7</c:v>
                  </c:pt>
                  <c:pt idx="46">
                    <c:v>10</c:v>
                  </c:pt>
                  <c:pt idx="47">
                    <c:v>13.999999999999993</c:v>
                  </c:pt>
                  <c:pt idx="48">
                    <c:v>16.999999999999993</c:v>
                  </c:pt>
                  <c:pt idx="49">
                    <c:v>9</c:v>
                  </c:pt>
                  <c:pt idx="50">
                    <c:v>21.999999999999993</c:v>
                  </c:pt>
                  <c:pt idx="51">
                    <c:v>8</c:v>
                  </c:pt>
                  <c:pt idx="52">
                    <c:v>17</c:v>
                  </c:pt>
                  <c:pt idx="53">
                    <c:v>12</c:v>
                  </c:pt>
                  <c:pt idx="54">
                    <c:v>8</c:v>
                  </c:pt>
                  <c:pt idx="55">
                    <c:v>7</c:v>
                  </c:pt>
                  <c:pt idx="56">
                    <c:v>11</c:v>
                  </c:pt>
                  <c:pt idx="57">
                    <c:v>17</c:v>
                  </c:pt>
                  <c:pt idx="58">
                    <c:v>22</c:v>
                  </c:pt>
                </c:numCache>
              </c:numRef>
            </c:plus>
            <c:minus>
              <c:numRef>
                <c:f>'LL Revascularisation Summary'!$AU$2:$AU$66</c:f>
                <c:numCache>
                  <c:formatCode>General</c:formatCode>
                  <c:ptCount val="65"/>
                  <c:pt idx="0">
                    <c:v>19</c:v>
                  </c:pt>
                  <c:pt idx="1">
                    <c:v>13</c:v>
                  </c:pt>
                  <c:pt idx="2">
                    <c:v>18.000000000000007</c:v>
                  </c:pt>
                  <c:pt idx="3">
                    <c:v>14</c:v>
                  </c:pt>
                  <c:pt idx="4">
                    <c:v>24</c:v>
                  </c:pt>
                  <c:pt idx="5">
                    <c:v>9.0000000000000071</c:v>
                  </c:pt>
                  <c:pt idx="6">
                    <c:v>15</c:v>
                  </c:pt>
                  <c:pt idx="7">
                    <c:v>8.9999999999999929</c:v>
                  </c:pt>
                  <c:pt idx="8">
                    <c:v>14</c:v>
                  </c:pt>
                  <c:pt idx="9">
                    <c:v>24</c:v>
                  </c:pt>
                  <c:pt idx="10">
                    <c:v>14</c:v>
                  </c:pt>
                  <c:pt idx="11">
                    <c:v>12</c:v>
                  </c:pt>
                  <c:pt idx="12">
                    <c:v>8.9999999999999929</c:v>
                  </c:pt>
                  <c:pt idx="13">
                    <c:v>16</c:v>
                  </c:pt>
                  <c:pt idx="14">
                    <c:v>10</c:v>
                  </c:pt>
                  <c:pt idx="15">
                    <c:v>10</c:v>
                  </c:pt>
                  <c:pt idx="16">
                    <c:v>6.9999999999999929</c:v>
                  </c:pt>
                  <c:pt idx="17">
                    <c:v>24</c:v>
                  </c:pt>
                  <c:pt idx="18">
                    <c:v>24</c:v>
                  </c:pt>
                  <c:pt idx="19">
                    <c:v>12</c:v>
                  </c:pt>
                  <c:pt idx="20">
                    <c:v>10</c:v>
                  </c:pt>
                  <c:pt idx="21">
                    <c:v>34</c:v>
                  </c:pt>
                  <c:pt idx="22">
                    <c:v>28</c:v>
                  </c:pt>
                  <c:pt idx="23">
                    <c:v>12</c:v>
                  </c:pt>
                  <c:pt idx="24">
                    <c:v>14</c:v>
                  </c:pt>
                  <c:pt idx="25">
                    <c:v>20</c:v>
                  </c:pt>
                  <c:pt idx="26">
                    <c:v>9</c:v>
                  </c:pt>
                  <c:pt idx="27">
                    <c:v>13</c:v>
                  </c:pt>
                  <c:pt idx="28">
                    <c:v>25</c:v>
                  </c:pt>
                  <c:pt idx="29">
                    <c:v>15</c:v>
                  </c:pt>
                  <c:pt idx="30">
                    <c:v>13</c:v>
                  </c:pt>
                  <c:pt idx="31">
                    <c:v>14</c:v>
                  </c:pt>
                  <c:pt idx="32">
                    <c:v>14</c:v>
                  </c:pt>
                  <c:pt idx="33">
                    <c:v>12</c:v>
                  </c:pt>
                  <c:pt idx="34">
                    <c:v>9</c:v>
                  </c:pt>
                  <c:pt idx="35">
                    <c:v>14</c:v>
                  </c:pt>
                  <c:pt idx="36">
                    <c:v>19</c:v>
                  </c:pt>
                  <c:pt idx="37">
                    <c:v>15</c:v>
                  </c:pt>
                  <c:pt idx="38">
                    <c:v>29</c:v>
                  </c:pt>
                  <c:pt idx="39">
                    <c:v>13</c:v>
                  </c:pt>
                  <c:pt idx="40">
                    <c:v>12</c:v>
                  </c:pt>
                  <c:pt idx="41">
                    <c:v>9</c:v>
                  </c:pt>
                  <c:pt idx="42">
                    <c:v>10</c:v>
                  </c:pt>
                  <c:pt idx="43">
                    <c:v>10</c:v>
                  </c:pt>
                  <c:pt idx="44">
                    <c:v>6</c:v>
                  </c:pt>
                  <c:pt idx="45">
                    <c:v>8</c:v>
                  </c:pt>
                  <c:pt idx="46">
                    <c:v>9</c:v>
                  </c:pt>
                  <c:pt idx="47">
                    <c:v>13</c:v>
                  </c:pt>
                  <c:pt idx="48">
                    <c:v>15</c:v>
                  </c:pt>
                  <c:pt idx="49">
                    <c:v>8</c:v>
                  </c:pt>
                  <c:pt idx="50">
                    <c:v>19</c:v>
                  </c:pt>
                  <c:pt idx="51">
                    <c:v>8</c:v>
                  </c:pt>
                  <c:pt idx="52">
                    <c:v>14</c:v>
                  </c:pt>
                  <c:pt idx="53">
                    <c:v>11</c:v>
                  </c:pt>
                  <c:pt idx="54">
                    <c:v>7</c:v>
                  </c:pt>
                  <c:pt idx="55">
                    <c:v>6</c:v>
                  </c:pt>
                  <c:pt idx="56">
                    <c:v>9.9999999999999982</c:v>
                  </c:pt>
                  <c:pt idx="57">
                    <c:v>10</c:v>
                  </c:pt>
                  <c:pt idx="58">
                    <c:v>12</c:v>
                  </c:pt>
                </c:numCache>
              </c:numRef>
            </c:minus>
            <c:spPr>
              <a:noFill/>
              <a:ln w="12700" cap="flat" cmpd="sng" algn="ctr">
                <a:solidFill>
                  <a:schemeClr val="tx1">
                    <a:lumMod val="65000"/>
                    <a:lumOff val="35000"/>
                  </a:schemeClr>
                </a:solidFill>
                <a:round/>
              </a:ln>
              <a:effectLst/>
            </c:spPr>
          </c:errBars>
          <c:cat>
            <c:strRef>
              <c:f>'LL Revascularisation Summary'!$AQ$2:$AQ$60</c:f>
              <c:strCache>
                <c:ptCount val="59"/>
                <c:pt idx="0">
                  <c:v>SG999</c:v>
                </c:pt>
                <c:pt idx="1">
                  <c:v>RH5</c:v>
                </c:pt>
                <c:pt idx="2">
                  <c:v>RWH</c:v>
                </c:pt>
                <c:pt idx="3">
                  <c:v>RXR</c:v>
                </c:pt>
                <c:pt idx="4">
                  <c:v>SH999</c:v>
                </c:pt>
                <c:pt idx="5">
                  <c:v>RM1</c:v>
                </c:pt>
                <c:pt idx="6">
                  <c:v>RXW</c:v>
                </c:pt>
                <c:pt idx="7">
                  <c:v>RCB</c:v>
                </c:pt>
                <c:pt idx="8">
                  <c:v>RH8</c:v>
                </c:pt>
                <c:pt idx="9">
                  <c:v>RTR</c:v>
                </c:pt>
                <c:pt idx="10">
                  <c:v>RC9</c:v>
                </c:pt>
                <c:pt idx="11">
                  <c:v>REF</c:v>
                </c:pt>
                <c:pt idx="12">
                  <c:v>RWA</c:v>
                </c:pt>
                <c:pt idx="13">
                  <c:v>RHQ</c:v>
                </c:pt>
                <c:pt idx="14">
                  <c:v>RM3</c:v>
                </c:pt>
                <c:pt idx="15">
                  <c:v>RNA</c:v>
                </c:pt>
                <c:pt idx="16">
                  <c:v>RRK</c:v>
                </c:pt>
                <c:pt idx="17">
                  <c:v>SS999</c:v>
                </c:pt>
                <c:pt idx="18">
                  <c:v>ST999</c:v>
                </c:pt>
                <c:pt idx="19">
                  <c:v>RHM</c:v>
                </c:pt>
                <c:pt idx="20">
                  <c:v>RVJ</c:v>
                </c:pt>
                <c:pt idx="21">
                  <c:v>7A6</c:v>
                </c:pt>
                <c:pt idx="22">
                  <c:v>SL999</c:v>
                </c:pt>
                <c:pt idx="23">
                  <c:v>RNS</c:v>
                </c:pt>
                <c:pt idx="24">
                  <c:v>RTE</c:v>
                </c:pt>
                <c:pt idx="25">
                  <c:v>RVV</c:v>
                </c:pt>
                <c:pt idx="26">
                  <c:v>ZT001</c:v>
                </c:pt>
                <c:pt idx="27">
                  <c:v>RDE</c:v>
                </c:pt>
                <c:pt idx="28">
                  <c:v>RJZ</c:v>
                </c:pt>
                <c:pt idx="29">
                  <c:v>RNN</c:v>
                </c:pt>
                <c:pt idx="30">
                  <c:v>RKB</c:v>
                </c:pt>
                <c:pt idx="31">
                  <c:v>RWP</c:v>
                </c:pt>
                <c:pt idx="32">
                  <c:v>RGT</c:v>
                </c:pt>
                <c:pt idx="33">
                  <c:v>RWE</c:v>
                </c:pt>
                <c:pt idx="34">
                  <c:v>7A4</c:v>
                </c:pt>
                <c:pt idx="35">
                  <c:v>RJ7</c:v>
                </c:pt>
                <c:pt idx="36">
                  <c:v>RAJ</c:v>
                </c:pt>
                <c:pt idx="37">
                  <c:v>RR8</c:v>
                </c:pt>
                <c:pt idx="38">
                  <c:v>RTH</c:v>
                </c:pt>
                <c:pt idx="39">
                  <c:v>RDU</c:v>
                </c:pt>
                <c:pt idx="40">
                  <c:v>R1K</c:v>
                </c:pt>
                <c:pt idx="41">
                  <c:v>RJE</c:v>
                </c:pt>
                <c:pt idx="42">
                  <c:v>RJR</c:v>
                </c:pt>
                <c:pt idx="43">
                  <c:v>RYJ</c:v>
                </c:pt>
                <c:pt idx="44">
                  <c:v>7A3</c:v>
                </c:pt>
                <c:pt idx="45">
                  <c:v>RTD</c:v>
                </c:pt>
                <c:pt idx="46">
                  <c:v>R0A</c:v>
                </c:pt>
                <c:pt idx="47">
                  <c:v>RAE</c:v>
                </c:pt>
                <c:pt idx="48">
                  <c:v>R0B</c:v>
                </c:pt>
                <c:pt idx="49">
                  <c:v>RXN</c:v>
                </c:pt>
                <c:pt idx="50">
                  <c:v>R1H</c:v>
                </c:pt>
                <c:pt idx="51">
                  <c:v>REM</c:v>
                </c:pt>
                <c:pt idx="52">
                  <c:v>RF4</c:v>
                </c:pt>
                <c:pt idx="53">
                  <c:v>RYR</c:v>
                </c:pt>
                <c:pt idx="54">
                  <c:v>RTG</c:v>
                </c:pt>
                <c:pt idx="55">
                  <c:v>RJ1</c:v>
                </c:pt>
                <c:pt idx="56">
                  <c:v>RWD</c:v>
                </c:pt>
                <c:pt idx="57">
                  <c:v>7A1</c:v>
                </c:pt>
                <c:pt idx="58">
                  <c:v>RX1</c:v>
                </c:pt>
              </c:strCache>
            </c:strRef>
          </c:cat>
          <c:val>
            <c:numRef>
              <c:f>'LL Revascularisation Summary'!$AS$2:$AS$60</c:f>
              <c:numCache>
                <c:formatCode>General</c:formatCode>
                <c:ptCount val="59"/>
                <c:pt idx="0">
                  <c:v>81</c:v>
                </c:pt>
                <c:pt idx="1">
                  <c:v>77</c:v>
                </c:pt>
                <c:pt idx="2">
                  <c:v>75</c:v>
                </c:pt>
                <c:pt idx="3">
                  <c:v>73</c:v>
                </c:pt>
                <c:pt idx="4">
                  <c:v>70</c:v>
                </c:pt>
                <c:pt idx="5">
                  <c:v>67</c:v>
                </c:pt>
                <c:pt idx="6">
                  <c:v>66</c:v>
                </c:pt>
                <c:pt idx="7">
                  <c:v>65</c:v>
                </c:pt>
                <c:pt idx="8">
                  <c:v>65</c:v>
                </c:pt>
                <c:pt idx="9">
                  <c:v>65</c:v>
                </c:pt>
                <c:pt idx="10">
                  <c:v>64</c:v>
                </c:pt>
                <c:pt idx="11">
                  <c:v>63</c:v>
                </c:pt>
                <c:pt idx="12">
                  <c:v>64</c:v>
                </c:pt>
                <c:pt idx="13">
                  <c:v>62</c:v>
                </c:pt>
                <c:pt idx="14">
                  <c:v>63</c:v>
                </c:pt>
                <c:pt idx="15">
                  <c:v>61</c:v>
                </c:pt>
                <c:pt idx="16">
                  <c:v>62</c:v>
                </c:pt>
                <c:pt idx="17">
                  <c:v>62</c:v>
                </c:pt>
                <c:pt idx="18">
                  <c:v>62</c:v>
                </c:pt>
                <c:pt idx="19">
                  <c:v>61</c:v>
                </c:pt>
                <c:pt idx="20">
                  <c:v>61</c:v>
                </c:pt>
                <c:pt idx="21">
                  <c:v>60</c:v>
                </c:pt>
                <c:pt idx="22">
                  <c:v>60</c:v>
                </c:pt>
                <c:pt idx="23">
                  <c:v>58</c:v>
                </c:pt>
                <c:pt idx="24">
                  <c:v>59</c:v>
                </c:pt>
                <c:pt idx="25">
                  <c:v>57</c:v>
                </c:pt>
                <c:pt idx="26">
                  <c:v>58</c:v>
                </c:pt>
                <c:pt idx="27">
                  <c:v>56</c:v>
                </c:pt>
                <c:pt idx="28">
                  <c:v>56</c:v>
                </c:pt>
                <c:pt idx="29">
                  <c:v>56</c:v>
                </c:pt>
                <c:pt idx="30">
                  <c:v>55</c:v>
                </c:pt>
                <c:pt idx="31">
                  <c:v>55</c:v>
                </c:pt>
                <c:pt idx="32">
                  <c:v>54</c:v>
                </c:pt>
                <c:pt idx="33">
                  <c:v>52</c:v>
                </c:pt>
                <c:pt idx="34">
                  <c:v>52</c:v>
                </c:pt>
                <c:pt idx="35">
                  <c:v>52</c:v>
                </c:pt>
                <c:pt idx="36">
                  <c:v>50</c:v>
                </c:pt>
                <c:pt idx="37">
                  <c:v>50</c:v>
                </c:pt>
                <c:pt idx="38">
                  <c:v>50</c:v>
                </c:pt>
                <c:pt idx="39">
                  <c:v>49</c:v>
                </c:pt>
                <c:pt idx="40">
                  <c:v>48</c:v>
                </c:pt>
                <c:pt idx="41">
                  <c:v>48</c:v>
                </c:pt>
                <c:pt idx="42">
                  <c:v>48</c:v>
                </c:pt>
                <c:pt idx="43">
                  <c:v>47</c:v>
                </c:pt>
                <c:pt idx="44">
                  <c:v>44</c:v>
                </c:pt>
                <c:pt idx="45">
                  <c:v>45</c:v>
                </c:pt>
                <c:pt idx="46">
                  <c:v>44</c:v>
                </c:pt>
                <c:pt idx="47">
                  <c:v>44</c:v>
                </c:pt>
                <c:pt idx="48">
                  <c:v>40</c:v>
                </c:pt>
                <c:pt idx="49">
                  <c:v>38</c:v>
                </c:pt>
                <c:pt idx="50">
                  <c:v>35</c:v>
                </c:pt>
                <c:pt idx="51">
                  <c:v>35</c:v>
                </c:pt>
                <c:pt idx="52">
                  <c:v>35</c:v>
                </c:pt>
                <c:pt idx="53">
                  <c:v>34</c:v>
                </c:pt>
                <c:pt idx="54">
                  <c:v>31</c:v>
                </c:pt>
                <c:pt idx="55">
                  <c:v>30</c:v>
                </c:pt>
                <c:pt idx="56">
                  <c:v>24</c:v>
                </c:pt>
                <c:pt idx="57">
                  <c:v>17</c:v>
                </c:pt>
                <c:pt idx="58">
                  <c:v>17</c:v>
                </c:pt>
              </c:numCache>
            </c:numRef>
          </c:val>
          <c:smooth val="0"/>
          <c:extLst>
            <c:ext xmlns:c16="http://schemas.microsoft.com/office/drawing/2014/chart" uri="{C3380CC4-5D6E-409C-BE32-E72D297353CC}">
              <c16:uniqueId val="{00000000-62B4-4C25-A639-88193DB0F72E}"/>
            </c:ext>
          </c:extLst>
        </c:ser>
        <c:dLbls>
          <c:showLegendKey val="0"/>
          <c:showVal val="0"/>
          <c:showCatName val="0"/>
          <c:showSerName val="0"/>
          <c:showPercent val="0"/>
          <c:showBubbleSize val="0"/>
        </c:dLbls>
        <c:marker val="1"/>
        <c:smooth val="0"/>
        <c:axId val="606186136"/>
        <c:axId val="606183840"/>
      </c:lineChart>
      <c:scatterChart>
        <c:scatterStyle val="lineMarker"/>
        <c:varyColors val="0"/>
        <c:ser>
          <c:idx val="1"/>
          <c:order val="1"/>
          <c:tx>
            <c:strRef>
              <c:f>'LL Revascularisation Summary'!$B$1</c:f>
              <c:strCache>
                <c:ptCount val="1"/>
                <c:pt idx="0">
                  <c:v>Aneurin Bevan University Health Board</c:v>
                </c:pt>
              </c:strCache>
            </c:strRef>
          </c:tx>
          <c:spPr>
            <a:ln w="25400" cap="rnd">
              <a:noFill/>
              <a:round/>
            </a:ln>
            <a:effectLst/>
          </c:spPr>
          <c:marker>
            <c:symbol val="circle"/>
            <c:size val="5"/>
            <c:spPr>
              <a:solidFill>
                <a:schemeClr val="accent2"/>
              </a:solidFill>
              <a:ln w="9525">
                <a:solidFill>
                  <a:schemeClr val="accent2"/>
                </a:solidFill>
              </a:ln>
              <a:effectLst/>
            </c:spPr>
          </c:marker>
          <c:errBars>
            <c:errDir val="y"/>
            <c:errBarType val="both"/>
            <c:errValType val="cust"/>
            <c:noEndCap val="1"/>
            <c:plus>
              <c:numRef>
                <c:f>'LL Revascularisation Summary'!$AC$2</c:f>
                <c:numCache>
                  <c:formatCode>General</c:formatCode>
                  <c:ptCount val="1"/>
                  <c:pt idx="0">
                    <c:v>28</c:v>
                  </c:pt>
                </c:numCache>
              </c:numRef>
            </c:plus>
            <c:minus>
              <c:numRef>
                <c:f>'LL Revascularisation Summary'!$AB$2</c:f>
                <c:numCache>
                  <c:formatCode>General</c:formatCode>
                  <c:ptCount val="1"/>
                  <c:pt idx="0">
                    <c:v>34</c:v>
                  </c:pt>
                </c:numCache>
              </c:numRef>
            </c:minus>
            <c:spPr>
              <a:noFill/>
              <a:ln w="19050" cap="flat" cmpd="sng" algn="ctr">
                <a:solidFill>
                  <a:schemeClr val="accent2"/>
                </a:solidFill>
                <a:round/>
              </a:ln>
              <a:effectLst/>
            </c:spPr>
          </c:errBars>
          <c:xVal>
            <c:numRef>
              <c:f>'LL Revascularisation Summary'!$AD$2</c:f>
              <c:numCache>
                <c:formatCode>General</c:formatCode>
                <c:ptCount val="1"/>
                <c:pt idx="0">
                  <c:v>22</c:v>
                </c:pt>
              </c:numCache>
            </c:numRef>
          </c:xVal>
          <c:yVal>
            <c:numRef>
              <c:f>'LL Revascularisation Summary'!$AA$2</c:f>
              <c:numCache>
                <c:formatCode>General</c:formatCode>
                <c:ptCount val="1"/>
                <c:pt idx="0">
                  <c:v>60</c:v>
                </c:pt>
              </c:numCache>
            </c:numRef>
          </c:yVal>
          <c:smooth val="0"/>
          <c:extLst>
            <c:ext xmlns:c16="http://schemas.microsoft.com/office/drawing/2014/chart" uri="{C3380CC4-5D6E-409C-BE32-E72D297353CC}">
              <c16:uniqueId val="{00000001-62B4-4C25-A639-88193DB0F72E}"/>
            </c:ext>
          </c:extLst>
        </c:ser>
        <c:dLbls>
          <c:showLegendKey val="0"/>
          <c:showVal val="0"/>
          <c:showCatName val="0"/>
          <c:showSerName val="0"/>
          <c:showPercent val="0"/>
          <c:showBubbleSize val="0"/>
        </c:dLbls>
        <c:axId val="606186136"/>
        <c:axId val="606183840"/>
      </c:scatterChart>
      <c:catAx>
        <c:axId val="606186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606183840"/>
        <c:crosses val="autoZero"/>
        <c:auto val="1"/>
        <c:lblAlgn val="ctr"/>
        <c:lblOffset val="100"/>
        <c:noMultiLvlLbl val="1"/>
      </c:catAx>
      <c:valAx>
        <c:axId val="6061838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606186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Types of Revascularisation Procedures Performed at Each Trust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'LL Revascularisation Summary'!$AH$1</c:f>
              <c:strCache>
                <c:ptCount val="1"/>
                <c:pt idx="0">
                  <c:v>Open 2022</c:v>
                </c:pt>
              </c:strCache>
            </c:strRef>
          </c:tx>
          <c:spPr>
            <a:solidFill>
              <a:schemeClr val="accent1"/>
            </a:solidFill>
            <a:ln>
              <a:noFill/>
            </a:ln>
            <a:effectLst/>
          </c:spPr>
          <c:invertIfNegative val="0"/>
          <c:cat>
            <c:strRef>
              <c:f>'LL Revascularisation Summary'!$AG$2:$AG$65</c:f>
              <c:strCache>
                <c:ptCount val="64"/>
                <c:pt idx="0">
                  <c:v>RWA</c:v>
                </c:pt>
                <c:pt idx="1">
                  <c:v>RJ1</c:v>
                </c:pt>
                <c:pt idx="2">
                  <c:v>RTD</c:v>
                </c:pt>
                <c:pt idx="3">
                  <c:v>RXN</c:v>
                </c:pt>
                <c:pt idx="4">
                  <c:v>RRK</c:v>
                </c:pt>
                <c:pt idx="5">
                  <c:v>RDE</c:v>
                </c:pt>
                <c:pt idx="6">
                  <c:v>RH5</c:v>
                </c:pt>
                <c:pt idx="7">
                  <c:v>RJE</c:v>
                </c:pt>
                <c:pt idx="8">
                  <c:v>REM</c:v>
                </c:pt>
                <c:pt idx="9">
                  <c:v>RTG</c:v>
                </c:pt>
                <c:pt idx="10">
                  <c:v>RYJ</c:v>
                </c:pt>
                <c:pt idx="11">
                  <c:v>RXR</c:v>
                </c:pt>
                <c:pt idx="12">
                  <c:v>RCB</c:v>
                </c:pt>
                <c:pt idx="13">
                  <c:v>ZT001</c:v>
                </c:pt>
                <c:pt idx="14">
                  <c:v>RJR</c:v>
                </c:pt>
                <c:pt idx="15">
                  <c:v>RM3</c:v>
                </c:pt>
                <c:pt idx="16">
                  <c:v>R0A</c:v>
                </c:pt>
                <c:pt idx="17">
                  <c:v>7A3</c:v>
                </c:pt>
                <c:pt idx="18">
                  <c:v>RVJ</c:v>
                </c:pt>
                <c:pt idx="19">
                  <c:v>RM1</c:v>
                </c:pt>
                <c:pt idx="20">
                  <c:v>RNS</c:v>
                </c:pt>
                <c:pt idx="21">
                  <c:v>RNN</c:v>
                </c:pt>
                <c:pt idx="22">
                  <c:v>R1K</c:v>
                </c:pt>
                <c:pt idx="23">
                  <c:v>RNA</c:v>
                </c:pt>
                <c:pt idx="24">
                  <c:v>7A4</c:v>
                </c:pt>
                <c:pt idx="25">
                  <c:v>REF</c:v>
                </c:pt>
                <c:pt idx="26">
                  <c:v>RXW</c:v>
                </c:pt>
                <c:pt idx="27">
                  <c:v>RC9</c:v>
                </c:pt>
                <c:pt idx="28">
                  <c:v>RHM</c:v>
                </c:pt>
                <c:pt idx="29">
                  <c:v>RJ7</c:v>
                </c:pt>
                <c:pt idx="30">
                  <c:v>RDU</c:v>
                </c:pt>
                <c:pt idx="31">
                  <c:v>RGT</c:v>
                </c:pt>
                <c:pt idx="32">
                  <c:v>R0B</c:v>
                </c:pt>
                <c:pt idx="33">
                  <c:v>RYR</c:v>
                </c:pt>
                <c:pt idx="34">
                  <c:v>RH8</c:v>
                </c:pt>
                <c:pt idx="35">
                  <c:v>RJZ</c:v>
                </c:pt>
                <c:pt idx="36">
                  <c:v>RWE</c:v>
                </c:pt>
                <c:pt idx="37">
                  <c:v>RWD</c:v>
                </c:pt>
                <c:pt idx="38">
                  <c:v>RTE</c:v>
                </c:pt>
                <c:pt idx="39">
                  <c:v>RAJ</c:v>
                </c:pt>
                <c:pt idx="40">
                  <c:v>RWP</c:v>
                </c:pt>
                <c:pt idx="41">
                  <c:v>RF4</c:v>
                </c:pt>
                <c:pt idx="42">
                  <c:v>RHQ</c:v>
                </c:pt>
                <c:pt idx="43">
                  <c:v>RR8</c:v>
                </c:pt>
                <c:pt idx="44">
                  <c:v>RKB</c:v>
                </c:pt>
                <c:pt idx="45">
                  <c:v>RAE</c:v>
                </c:pt>
                <c:pt idx="46">
                  <c:v>RVV</c:v>
                </c:pt>
                <c:pt idx="47">
                  <c:v>7A1</c:v>
                </c:pt>
                <c:pt idx="48">
                  <c:v>R0D</c:v>
                </c:pt>
                <c:pt idx="49">
                  <c:v>RWH</c:v>
                </c:pt>
                <c:pt idx="50">
                  <c:v>SH999</c:v>
                </c:pt>
                <c:pt idx="51">
                  <c:v>SG999</c:v>
                </c:pt>
                <c:pt idx="52">
                  <c:v>SS999</c:v>
                </c:pt>
                <c:pt idx="53">
                  <c:v>RTR</c:v>
                </c:pt>
                <c:pt idx="54">
                  <c:v>ST999</c:v>
                </c:pt>
                <c:pt idx="55">
                  <c:v>SL999</c:v>
                </c:pt>
                <c:pt idx="56">
                  <c:v>RTH</c:v>
                </c:pt>
                <c:pt idx="57">
                  <c:v>RX1</c:v>
                </c:pt>
                <c:pt idx="58">
                  <c:v>7A6</c:v>
                </c:pt>
                <c:pt idx="59">
                  <c:v>R1H</c:v>
                </c:pt>
                <c:pt idx="60">
                  <c:v>RWG</c:v>
                </c:pt>
                <c:pt idx="61">
                  <c:v>RK9</c:v>
                </c:pt>
                <c:pt idx="62">
                  <c:v>RAL</c:v>
                </c:pt>
                <c:pt idx="63">
                  <c:v>RPA</c:v>
                </c:pt>
              </c:strCache>
            </c:strRef>
          </c:cat>
          <c:val>
            <c:numRef>
              <c:f>'LL Revascularisation Summary'!$AH$2:$AH$65</c:f>
              <c:numCache>
                <c:formatCode>General</c:formatCode>
                <c:ptCount val="64"/>
                <c:pt idx="0">
                  <c:v>126</c:v>
                </c:pt>
                <c:pt idx="1">
                  <c:v>65</c:v>
                </c:pt>
                <c:pt idx="2">
                  <c:v>122</c:v>
                </c:pt>
                <c:pt idx="3">
                  <c:v>124</c:v>
                </c:pt>
                <c:pt idx="4">
                  <c:v>122</c:v>
                </c:pt>
                <c:pt idx="5">
                  <c:v>46</c:v>
                </c:pt>
                <c:pt idx="6">
                  <c:v>129</c:v>
                </c:pt>
                <c:pt idx="7">
                  <c:v>131</c:v>
                </c:pt>
                <c:pt idx="8">
                  <c:v>114</c:v>
                </c:pt>
                <c:pt idx="9">
                  <c:v>67</c:v>
                </c:pt>
                <c:pt idx="10">
                  <c:v>87</c:v>
                </c:pt>
                <c:pt idx="11">
                  <c:v>87</c:v>
                </c:pt>
                <c:pt idx="12">
                  <c:v>92</c:v>
                </c:pt>
                <c:pt idx="13">
                  <c:v>129</c:v>
                </c:pt>
                <c:pt idx="14">
                  <c:v>112</c:v>
                </c:pt>
                <c:pt idx="15">
                  <c:v>112</c:v>
                </c:pt>
                <c:pt idx="16">
                  <c:v>90</c:v>
                </c:pt>
                <c:pt idx="17">
                  <c:v>133</c:v>
                </c:pt>
                <c:pt idx="18">
                  <c:v>59</c:v>
                </c:pt>
                <c:pt idx="19">
                  <c:v>37</c:v>
                </c:pt>
                <c:pt idx="20">
                  <c:v>49</c:v>
                </c:pt>
                <c:pt idx="21">
                  <c:v>68</c:v>
                </c:pt>
                <c:pt idx="22">
                  <c:v>11</c:v>
                </c:pt>
                <c:pt idx="23">
                  <c:v>99</c:v>
                </c:pt>
                <c:pt idx="24">
                  <c:v>106</c:v>
                </c:pt>
                <c:pt idx="25">
                  <c:v>58</c:v>
                </c:pt>
                <c:pt idx="26">
                  <c:v>73</c:v>
                </c:pt>
                <c:pt idx="27">
                  <c:v>67</c:v>
                </c:pt>
                <c:pt idx="28">
                  <c:v>128</c:v>
                </c:pt>
                <c:pt idx="29">
                  <c:v>21</c:v>
                </c:pt>
                <c:pt idx="30">
                  <c:v>103</c:v>
                </c:pt>
                <c:pt idx="31">
                  <c:v>110</c:v>
                </c:pt>
                <c:pt idx="32">
                  <c:v>26</c:v>
                </c:pt>
                <c:pt idx="33">
                  <c:v>53</c:v>
                </c:pt>
                <c:pt idx="34">
                  <c:v>75</c:v>
                </c:pt>
                <c:pt idx="35">
                  <c:v>83</c:v>
                </c:pt>
                <c:pt idx="36">
                  <c:v>68</c:v>
                </c:pt>
                <c:pt idx="37">
                  <c:v>28</c:v>
                </c:pt>
                <c:pt idx="38">
                  <c:v>69</c:v>
                </c:pt>
                <c:pt idx="39">
                  <c:v>59</c:v>
                </c:pt>
                <c:pt idx="40">
                  <c:v>96</c:v>
                </c:pt>
                <c:pt idx="41">
                  <c:v>24</c:v>
                </c:pt>
                <c:pt idx="42">
                  <c:v>57</c:v>
                </c:pt>
                <c:pt idx="43">
                  <c:v>58</c:v>
                </c:pt>
                <c:pt idx="44">
                  <c:v>51</c:v>
                </c:pt>
                <c:pt idx="45">
                  <c:v>66</c:v>
                </c:pt>
                <c:pt idx="46">
                  <c:v>37</c:v>
                </c:pt>
                <c:pt idx="47">
                  <c:v>67</c:v>
                </c:pt>
                <c:pt idx="48">
                  <c:v>32</c:v>
                </c:pt>
                <c:pt idx="49">
                  <c:v>13</c:v>
                </c:pt>
                <c:pt idx="50">
                  <c:v>79</c:v>
                </c:pt>
                <c:pt idx="51">
                  <c:v>59</c:v>
                </c:pt>
                <c:pt idx="52">
                  <c:v>65</c:v>
                </c:pt>
                <c:pt idx="53">
                  <c:v>56</c:v>
                </c:pt>
                <c:pt idx="54">
                  <c:v>57</c:v>
                </c:pt>
                <c:pt idx="55">
                  <c:v>50</c:v>
                </c:pt>
                <c:pt idx="56">
                  <c:v>38</c:v>
                </c:pt>
                <c:pt idx="57">
                  <c:v>53</c:v>
                </c:pt>
                <c:pt idx="58">
                  <c:v>15</c:v>
                </c:pt>
                <c:pt idx="59">
                  <c:v>6</c:v>
                </c:pt>
                <c:pt idx="60">
                  <c:v>28</c:v>
                </c:pt>
                <c:pt idx="61">
                  <c:v>30</c:v>
                </c:pt>
                <c:pt idx="62">
                  <c:v>12</c:v>
                </c:pt>
                <c:pt idx="63">
                  <c:v>8</c:v>
                </c:pt>
              </c:numCache>
            </c:numRef>
          </c:val>
          <c:extLst>
            <c:ext xmlns:c16="http://schemas.microsoft.com/office/drawing/2014/chart" uri="{C3380CC4-5D6E-409C-BE32-E72D297353CC}">
              <c16:uniqueId val="{00000048-5F0B-4DF1-8C8F-61CC73068848}"/>
            </c:ext>
          </c:extLst>
        </c:ser>
        <c:ser>
          <c:idx val="1"/>
          <c:order val="1"/>
          <c:tx>
            <c:strRef>
              <c:f>'LL Revascularisation Summary'!$AI$1</c:f>
              <c:strCache>
                <c:ptCount val="1"/>
                <c:pt idx="0">
                  <c:v>Hybrid 2022</c:v>
                </c:pt>
              </c:strCache>
            </c:strRef>
          </c:tx>
          <c:spPr>
            <a:solidFill>
              <a:srgbClr val="92D050"/>
            </a:solidFill>
            <a:ln>
              <a:noFill/>
            </a:ln>
            <a:effectLst/>
          </c:spPr>
          <c:invertIfNegative val="0"/>
          <c:cat>
            <c:strRef>
              <c:f>'LL Revascularisation Summary'!$AG$2:$AG$65</c:f>
              <c:strCache>
                <c:ptCount val="64"/>
                <c:pt idx="0">
                  <c:v>RWA</c:v>
                </c:pt>
                <c:pt idx="1">
                  <c:v>RJ1</c:v>
                </c:pt>
                <c:pt idx="2">
                  <c:v>RTD</c:v>
                </c:pt>
                <c:pt idx="3">
                  <c:v>RXN</c:v>
                </c:pt>
                <c:pt idx="4">
                  <c:v>RRK</c:v>
                </c:pt>
                <c:pt idx="5">
                  <c:v>RDE</c:v>
                </c:pt>
                <c:pt idx="6">
                  <c:v>RH5</c:v>
                </c:pt>
                <c:pt idx="7">
                  <c:v>RJE</c:v>
                </c:pt>
                <c:pt idx="8">
                  <c:v>REM</c:v>
                </c:pt>
                <c:pt idx="9">
                  <c:v>RTG</c:v>
                </c:pt>
                <c:pt idx="10">
                  <c:v>RYJ</c:v>
                </c:pt>
                <c:pt idx="11">
                  <c:v>RXR</c:v>
                </c:pt>
                <c:pt idx="12">
                  <c:v>RCB</c:v>
                </c:pt>
                <c:pt idx="13">
                  <c:v>ZT001</c:v>
                </c:pt>
                <c:pt idx="14">
                  <c:v>RJR</c:v>
                </c:pt>
                <c:pt idx="15">
                  <c:v>RM3</c:v>
                </c:pt>
                <c:pt idx="16">
                  <c:v>R0A</c:v>
                </c:pt>
                <c:pt idx="17">
                  <c:v>7A3</c:v>
                </c:pt>
                <c:pt idx="18">
                  <c:v>RVJ</c:v>
                </c:pt>
                <c:pt idx="19">
                  <c:v>RM1</c:v>
                </c:pt>
                <c:pt idx="20">
                  <c:v>RNS</c:v>
                </c:pt>
                <c:pt idx="21">
                  <c:v>RNN</c:v>
                </c:pt>
                <c:pt idx="22">
                  <c:v>R1K</c:v>
                </c:pt>
                <c:pt idx="23">
                  <c:v>RNA</c:v>
                </c:pt>
                <c:pt idx="24">
                  <c:v>7A4</c:v>
                </c:pt>
                <c:pt idx="25">
                  <c:v>REF</c:v>
                </c:pt>
                <c:pt idx="26">
                  <c:v>RXW</c:v>
                </c:pt>
                <c:pt idx="27">
                  <c:v>RC9</c:v>
                </c:pt>
                <c:pt idx="28">
                  <c:v>RHM</c:v>
                </c:pt>
                <c:pt idx="29">
                  <c:v>RJ7</c:v>
                </c:pt>
                <c:pt idx="30">
                  <c:v>RDU</c:v>
                </c:pt>
                <c:pt idx="31">
                  <c:v>RGT</c:v>
                </c:pt>
                <c:pt idx="32">
                  <c:v>R0B</c:v>
                </c:pt>
                <c:pt idx="33">
                  <c:v>RYR</c:v>
                </c:pt>
                <c:pt idx="34">
                  <c:v>RH8</c:v>
                </c:pt>
                <c:pt idx="35">
                  <c:v>RJZ</c:v>
                </c:pt>
                <c:pt idx="36">
                  <c:v>RWE</c:v>
                </c:pt>
                <c:pt idx="37">
                  <c:v>RWD</c:v>
                </c:pt>
                <c:pt idx="38">
                  <c:v>RTE</c:v>
                </c:pt>
                <c:pt idx="39">
                  <c:v>RAJ</c:v>
                </c:pt>
                <c:pt idx="40">
                  <c:v>RWP</c:v>
                </c:pt>
                <c:pt idx="41">
                  <c:v>RF4</c:v>
                </c:pt>
                <c:pt idx="42">
                  <c:v>RHQ</c:v>
                </c:pt>
                <c:pt idx="43">
                  <c:v>RR8</c:v>
                </c:pt>
                <c:pt idx="44">
                  <c:v>RKB</c:v>
                </c:pt>
                <c:pt idx="45">
                  <c:v>RAE</c:v>
                </c:pt>
                <c:pt idx="46">
                  <c:v>RVV</c:v>
                </c:pt>
                <c:pt idx="47">
                  <c:v>7A1</c:v>
                </c:pt>
                <c:pt idx="48">
                  <c:v>R0D</c:v>
                </c:pt>
                <c:pt idx="49">
                  <c:v>RWH</c:v>
                </c:pt>
                <c:pt idx="50">
                  <c:v>SH999</c:v>
                </c:pt>
                <c:pt idx="51">
                  <c:v>SG999</c:v>
                </c:pt>
                <c:pt idx="52">
                  <c:v>SS999</c:v>
                </c:pt>
                <c:pt idx="53">
                  <c:v>RTR</c:v>
                </c:pt>
                <c:pt idx="54">
                  <c:v>ST999</c:v>
                </c:pt>
                <c:pt idx="55">
                  <c:v>SL999</c:v>
                </c:pt>
                <c:pt idx="56">
                  <c:v>RTH</c:v>
                </c:pt>
                <c:pt idx="57">
                  <c:v>RX1</c:v>
                </c:pt>
                <c:pt idx="58">
                  <c:v>7A6</c:v>
                </c:pt>
                <c:pt idx="59">
                  <c:v>R1H</c:v>
                </c:pt>
                <c:pt idx="60">
                  <c:v>RWG</c:v>
                </c:pt>
                <c:pt idx="61">
                  <c:v>RK9</c:v>
                </c:pt>
                <c:pt idx="62">
                  <c:v>RAL</c:v>
                </c:pt>
                <c:pt idx="63">
                  <c:v>RPA</c:v>
                </c:pt>
              </c:strCache>
            </c:strRef>
          </c:cat>
          <c:val>
            <c:numRef>
              <c:f>'LL Revascularisation Summary'!$AI$2:$AI$65</c:f>
              <c:numCache>
                <c:formatCode>General</c:formatCode>
                <c:ptCount val="64"/>
                <c:pt idx="0">
                  <c:v>19</c:v>
                </c:pt>
                <c:pt idx="1">
                  <c:v>91</c:v>
                </c:pt>
                <c:pt idx="2">
                  <c:v>76</c:v>
                </c:pt>
                <c:pt idx="3">
                  <c:v>78</c:v>
                </c:pt>
                <c:pt idx="4">
                  <c:v>64</c:v>
                </c:pt>
                <c:pt idx="5">
                  <c:v>48</c:v>
                </c:pt>
                <c:pt idx="6">
                  <c:v>11</c:v>
                </c:pt>
                <c:pt idx="7">
                  <c:v>35</c:v>
                </c:pt>
                <c:pt idx="8">
                  <c:v>75</c:v>
                </c:pt>
                <c:pt idx="9">
                  <c:v>41</c:v>
                </c:pt>
                <c:pt idx="10">
                  <c:v>21</c:v>
                </c:pt>
                <c:pt idx="11">
                  <c:v>69</c:v>
                </c:pt>
                <c:pt idx="12">
                  <c:v>16</c:v>
                </c:pt>
                <c:pt idx="13">
                  <c:v>73</c:v>
                </c:pt>
                <c:pt idx="14">
                  <c:v>30</c:v>
                </c:pt>
                <c:pt idx="15">
                  <c:v>105</c:v>
                </c:pt>
                <c:pt idx="16">
                  <c:v>78</c:v>
                </c:pt>
                <c:pt idx="17">
                  <c:v>17</c:v>
                </c:pt>
                <c:pt idx="18">
                  <c:v>57</c:v>
                </c:pt>
                <c:pt idx="19">
                  <c:v>51</c:v>
                </c:pt>
                <c:pt idx="20">
                  <c:v>25</c:v>
                </c:pt>
                <c:pt idx="21">
                  <c:v>19</c:v>
                </c:pt>
                <c:pt idx="22">
                  <c:v>19</c:v>
                </c:pt>
                <c:pt idx="23">
                  <c:v>32</c:v>
                </c:pt>
                <c:pt idx="24">
                  <c:v>24</c:v>
                </c:pt>
                <c:pt idx="25">
                  <c:v>14</c:v>
                </c:pt>
                <c:pt idx="26">
                  <c:v>13</c:v>
                </c:pt>
                <c:pt idx="27">
                  <c:v>33</c:v>
                </c:pt>
                <c:pt idx="28">
                  <c:v>65</c:v>
                </c:pt>
                <c:pt idx="29">
                  <c:v>63</c:v>
                </c:pt>
                <c:pt idx="30">
                  <c:v>32</c:v>
                </c:pt>
                <c:pt idx="31">
                  <c:v>43</c:v>
                </c:pt>
                <c:pt idx="32">
                  <c:v>38</c:v>
                </c:pt>
                <c:pt idx="33">
                  <c:v>7</c:v>
                </c:pt>
                <c:pt idx="34">
                  <c:v>5</c:v>
                </c:pt>
                <c:pt idx="35">
                  <c:v>11</c:v>
                </c:pt>
                <c:pt idx="36">
                  <c:v>68</c:v>
                </c:pt>
                <c:pt idx="37">
                  <c:v>3</c:v>
                </c:pt>
                <c:pt idx="38">
                  <c:v>35</c:v>
                </c:pt>
                <c:pt idx="39">
                  <c:v>57</c:v>
                </c:pt>
                <c:pt idx="40">
                  <c:v>26</c:v>
                </c:pt>
                <c:pt idx="41">
                  <c:v>11</c:v>
                </c:pt>
                <c:pt idx="42">
                  <c:v>44</c:v>
                </c:pt>
                <c:pt idx="43">
                  <c:v>30</c:v>
                </c:pt>
                <c:pt idx="44">
                  <c:v>12</c:v>
                </c:pt>
                <c:pt idx="45">
                  <c:v>13</c:v>
                </c:pt>
                <c:pt idx="46">
                  <c:v>48</c:v>
                </c:pt>
                <c:pt idx="47">
                  <c:v>31</c:v>
                </c:pt>
                <c:pt idx="48">
                  <c:v>4</c:v>
                </c:pt>
                <c:pt idx="49">
                  <c:v>10</c:v>
                </c:pt>
                <c:pt idx="50">
                  <c:v>3</c:v>
                </c:pt>
                <c:pt idx="51">
                  <c:v>18</c:v>
                </c:pt>
                <c:pt idx="52">
                  <c:v>11</c:v>
                </c:pt>
                <c:pt idx="53">
                  <c:v>5</c:v>
                </c:pt>
                <c:pt idx="54">
                  <c:v>10</c:v>
                </c:pt>
                <c:pt idx="55">
                  <c:v>11</c:v>
                </c:pt>
                <c:pt idx="56">
                  <c:v>15</c:v>
                </c:pt>
                <c:pt idx="57">
                  <c:v>4</c:v>
                </c:pt>
                <c:pt idx="58">
                  <c:v>3</c:v>
                </c:pt>
                <c:pt idx="59">
                  <c:v>6</c:v>
                </c:pt>
                <c:pt idx="60">
                  <c:v>10</c:v>
                </c:pt>
                <c:pt idx="61">
                  <c:v>4</c:v>
                </c:pt>
                <c:pt idx="62">
                  <c:v>5</c:v>
                </c:pt>
                <c:pt idx="63">
                  <c:v>3</c:v>
                </c:pt>
              </c:numCache>
            </c:numRef>
          </c:val>
          <c:extLst>
            <c:ext xmlns:c16="http://schemas.microsoft.com/office/drawing/2014/chart" uri="{C3380CC4-5D6E-409C-BE32-E72D297353CC}">
              <c16:uniqueId val="{00000049-5F0B-4DF1-8C8F-61CC73068848}"/>
            </c:ext>
          </c:extLst>
        </c:ser>
        <c:ser>
          <c:idx val="2"/>
          <c:order val="2"/>
          <c:tx>
            <c:strRef>
              <c:f>'LL Revascularisation Summary'!$AJ$1</c:f>
              <c:strCache>
                <c:ptCount val="1"/>
                <c:pt idx="0">
                  <c:v>Endovascular 2022</c:v>
                </c:pt>
              </c:strCache>
            </c:strRef>
          </c:tx>
          <c:spPr>
            <a:solidFill>
              <a:schemeClr val="accent2">
                <a:lumMod val="75000"/>
              </a:schemeClr>
            </a:solidFill>
            <a:ln>
              <a:noFill/>
            </a:ln>
            <a:effectLst/>
          </c:spPr>
          <c:invertIfNegative val="0"/>
          <c:cat>
            <c:strRef>
              <c:f>'LL Revascularisation Summary'!$AG$2:$AG$65</c:f>
              <c:strCache>
                <c:ptCount val="64"/>
                <c:pt idx="0">
                  <c:v>RWA</c:v>
                </c:pt>
                <c:pt idx="1">
                  <c:v>RJ1</c:v>
                </c:pt>
                <c:pt idx="2">
                  <c:v>RTD</c:v>
                </c:pt>
                <c:pt idx="3">
                  <c:v>RXN</c:v>
                </c:pt>
                <c:pt idx="4">
                  <c:v>RRK</c:v>
                </c:pt>
                <c:pt idx="5">
                  <c:v>RDE</c:v>
                </c:pt>
                <c:pt idx="6">
                  <c:v>RH5</c:v>
                </c:pt>
                <c:pt idx="7">
                  <c:v>RJE</c:v>
                </c:pt>
                <c:pt idx="8">
                  <c:v>REM</c:v>
                </c:pt>
                <c:pt idx="9">
                  <c:v>RTG</c:v>
                </c:pt>
                <c:pt idx="10">
                  <c:v>RYJ</c:v>
                </c:pt>
                <c:pt idx="11">
                  <c:v>RXR</c:v>
                </c:pt>
                <c:pt idx="12">
                  <c:v>RCB</c:v>
                </c:pt>
                <c:pt idx="13">
                  <c:v>ZT001</c:v>
                </c:pt>
                <c:pt idx="14">
                  <c:v>RJR</c:v>
                </c:pt>
                <c:pt idx="15">
                  <c:v>RM3</c:v>
                </c:pt>
                <c:pt idx="16">
                  <c:v>R0A</c:v>
                </c:pt>
                <c:pt idx="17">
                  <c:v>7A3</c:v>
                </c:pt>
                <c:pt idx="18">
                  <c:v>RVJ</c:v>
                </c:pt>
                <c:pt idx="19">
                  <c:v>RM1</c:v>
                </c:pt>
                <c:pt idx="20">
                  <c:v>RNS</c:v>
                </c:pt>
                <c:pt idx="21">
                  <c:v>RNN</c:v>
                </c:pt>
                <c:pt idx="22">
                  <c:v>R1K</c:v>
                </c:pt>
                <c:pt idx="23">
                  <c:v>RNA</c:v>
                </c:pt>
                <c:pt idx="24">
                  <c:v>7A4</c:v>
                </c:pt>
                <c:pt idx="25">
                  <c:v>REF</c:v>
                </c:pt>
                <c:pt idx="26">
                  <c:v>RXW</c:v>
                </c:pt>
                <c:pt idx="27">
                  <c:v>RC9</c:v>
                </c:pt>
                <c:pt idx="28">
                  <c:v>RHM</c:v>
                </c:pt>
                <c:pt idx="29">
                  <c:v>RJ7</c:v>
                </c:pt>
                <c:pt idx="30">
                  <c:v>RDU</c:v>
                </c:pt>
                <c:pt idx="31">
                  <c:v>RGT</c:v>
                </c:pt>
                <c:pt idx="32">
                  <c:v>R0B</c:v>
                </c:pt>
                <c:pt idx="33">
                  <c:v>RYR</c:v>
                </c:pt>
                <c:pt idx="34">
                  <c:v>RH8</c:v>
                </c:pt>
                <c:pt idx="35">
                  <c:v>RJZ</c:v>
                </c:pt>
                <c:pt idx="36">
                  <c:v>RWE</c:v>
                </c:pt>
                <c:pt idx="37">
                  <c:v>RWD</c:v>
                </c:pt>
                <c:pt idx="38">
                  <c:v>RTE</c:v>
                </c:pt>
                <c:pt idx="39">
                  <c:v>RAJ</c:v>
                </c:pt>
                <c:pt idx="40">
                  <c:v>RWP</c:v>
                </c:pt>
                <c:pt idx="41">
                  <c:v>RF4</c:v>
                </c:pt>
                <c:pt idx="42">
                  <c:v>RHQ</c:v>
                </c:pt>
                <c:pt idx="43">
                  <c:v>RR8</c:v>
                </c:pt>
                <c:pt idx="44">
                  <c:v>RKB</c:v>
                </c:pt>
                <c:pt idx="45">
                  <c:v>RAE</c:v>
                </c:pt>
                <c:pt idx="46">
                  <c:v>RVV</c:v>
                </c:pt>
                <c:pt idx="47">
                  <c:v>7A1</c:v>
                </c:pt>
                <c:pt idx="48">
                  <c:v>R0D</c:v>
                </c:pt>
                <c:pt idx="49">
                  <c:v>RWH</c:v>
                </c:pt>
                <c:pt idx="50">
                  <c:v>SH999</c:v>
                </c:pt>
                <c:pt idx="51">
                  <c:v>SG999</c:v>
                </c:pt>
                <c:pt idx="52">
                  <c:v>SS999</c:v>
                </c:pt>
                <c:pt idx="53">
                  <c:v>RTR</c:v>
                </c:pt>
                <c:pt idx="54">
                  <c:v>ST999</c:v>
                </c:pt>
                <c:pt idx="55">
                  <c:v>SL999</c:v>
                </c:pt>
                <c:pt idx="56">
                  <c:v>RTH</c:v>
                </c:pt>
                <c:pt idx="57">
                  <c:v>RX1</c:v>
                </c:pt>
                <c:pt idx="58">
                  <c:v>7A6</c:v>
                </c:pt>
                <c:pt idx="59">
                  <c:v>R1H</c:v>
                </c:pt>
                <c:pt idx="60">
                  <c:v>RWG</c:v>
                </c:pt>
                <c:pt idx="61">
                  <c:v>RK9</c:v>
                </c:pt>
                <c:pt idx="62">
                  <c:v>RAL</c:v>
                </c:pt>
                <c:pt idx="63">
                  <c:v>RPA</c:v>
                </c:pt>
              </c:strCache>
            </c:strRef>
          </c:cat>
          <c:val>
            <c:numRef>
              <c:f>'LL Revascularisation Summary'!$AJ$2:$AJ$65</c:f>
              <c:numCache>
                <c:formatCode>General</c:formatCode>
                <c:ptCount val="64"/>
                <c:pt idx="0">
                  <c:v>397</c:v>
                </c:pt>
                <c:pt idx="1">
                  <c:v>385</c:v>
                </c:pt>
                <c:pt idx="2">
                  <c:v>307</c:v>
                </c:pt>
                <c:pt idx="3">
                  <c:v>219</c:v>
                </c:pt>
                <c:pt idx="4">
                  <c:v>223</c:v>
                </c:pt>
                <c:pt idx="5">
                  <c:v>308</c:v>
                </c:pt>
                <c:pt idx="6">
                  <c:v>245</c:v>
                </c:pt>
                <c:pt idx="7">
                  <c:v>217</c:v>
                </c:pt>
                <c:pt idx="8">
                  <c:v>189</c:v>
                </c:pt>
                <c:pt idx="9">
                  <c:v>259</c:v>
                </c:pt>
                <c:pt idx="10">
                  <c:v>252</c:v>
                </c:pt>
                <c:pt idx="11">
                  <c:v>192</c:v>
                </c:pt>
                <c:pt idx="12">
                  <c:v>237</c:v>
                </c:pt>
                <c:pt idx="13">
                  <c:v>128</c:v>
                </c:pt>
                <c:pt idx="14">
                  <c:v>179</c:v>
                </c:pt>
                <c:pt idx="15">
                  <c:v>98</c:v>
                </c:pt>
                <c:pt idx="16">
                  <c:v>143</c:v>
                </c:pt>
                <c:pt idx="17">
                  <c:v>161</c:v>
                </c:pt>
                <c:pt idx="18">
                  <c:v>192</c:v>
                </c:pt>
                <c:pt idx="19">
                  <c:v>208</c:v>
                </c:pt>
                <c:pt idx="20">
                  <c:v>212</c:v>
                </c:pt>
                <c:pt idx="21">
                  <c:v>182</c:v>
                </c:pt>
                <c:pt idx="22">
                  <c:v>236</c:v>
                </c:pt>
                <c:pt idx="23">
                  <c:v>135</c:v>
                </c:pt>
                <c:pt idx="24">
                  <c:v>119</c:v>
                </c:pt>
                <c:pt idx="25">
                  <c:v>174</c:v>
                </c:pt>
                <c:pt idx="26">
                  <c:v>160</c:v>
                </c:pt>
                <c:pt idx="27">
                  <c:v>134</c:v>
                </c:pt>
                <c:pt idx="28">
                  <c:v>31</c:v>
                </c:pt>
                <c:pt idx="29">
                  <c:v>137</c:v>
                </c:pt>
                <c:pt idx="30">
                  <c:v>84</c:v>
                </c:pt>
                <c:pt idx="31">
                  <c:v>63</c:v>
                </c:pt>
                <c:pt idx="32">
                  <c:v>141</c:v>
                </c:pt>
                <c:pt idx="33">
                  <c:v>139</c:v>
                </c:pt>
                <c:pt idx="34">
                  <c:v>117</c:v>
                </c:pt>
                <c:pt idx="35">
                  <c:v>102</c:v>
                </c:pt>
                <c:pt idx="36">
                  <c:v>49</c:v>
                </c:pt>
                <c:pt idx="37">
                  <c:v>145</c:v>
                </c:pt>
                <c:pt idx="38">
                  <c:v>71</c:v>
                </c:pt>
                <c:pt idx="39">
                  <c:v>51</c:v>
                </c:pt>
                <c:pt idx="40">
                  <c:v>31</c:v>
                </c:pt>
                <c:pt idx="41">
                  <c:v>114</c:v>
                </c:pt>
                <c:pt idx="42">
                  <c:v>46</c:v>
                </c:pt>
                <c:pt idx="43">
                  <c:v>36</c:v>
                </c:pt>
                <c:pt idx="44">
                  <c:v>59</c:v>
                </c:pt>
                <c:pt idx="45">
                  <c:v>34</c:v>
                </c:pt>
                <c:pt idx="46">
                  <c:v>22</c:v>
                </c:pt>
                <c:pt idx="47">
                  <c:v>3</c:v>
                </c:pt>
                <c:pt idx="48">
                  <c:v>49</c:v>
                </c:pt>
                <c:pt idx="49">
                  <c:v>60</c:v>
                </c:pt>
                <c:pt idx="50">
                  <c:v>0</c:v>
                </c:pt>
                <c:pt idx="51">
                  <c:v>2</c:v>
                </c:pt>
                <c:pt idx="52">
                  <c:v>0</c:v>
                </c:pt>
                <c:pt idx="53">
                  <c:v>10</c:v>
                </c:pt>
                <c:pt idx="54">
                  <c:v>0</c:v>
                </c:pt>
                <c:pt idx="55">
                  <c:v>0</c:v>
                </c:pt>
                <c:pt idx="56">
                  <c:v>5</c:v>
                </c:pt>
                <c:pt idx="57">
                  <c:v>0</c:v>
                </c:pt>
                <c:pt idx="58">
                  <c:v>38</c:v>
                </c:pt>
                <c:pt idx="59">
                  <c:v>43</c:v>
                </c:pt>
                <c:pt idx="60">
                  <c:v>6</c:v>
                </c:pt>
                <c:pt idx="61">
                  <c:v>0</c:v>
                </c:pt>
                <c:pt idx="62">
                  <c:v>3</c:v>
                </c:pt>
                <c:pt idx="63">
                  <c:v>6</c:v>
                </c:pt>
              </c:numCache>
            </c:numRef>
          </c:val>
          <c:extLst>
            <c:ext xmlns:c16="http://schemas.microsoft.com/office/drawing/2014/chart" uri="{C3380CC4-5D6E-409C-BE32-E72D297353CC}">
              <c16:uniqueId val="{0000004A-5F0B-4DF1-8C8F-61CC73068848}"/>
            </c:ext>
          </c:extLst>
        </c:ser>
        <c:dLbls>
          <c:showLegendKey val="0"/>
          <c:showVal val="0"/>
          <c:showCatName val="0"/>
          <c:showSerName val="0"/>
          <c:showPercent val="0"/>
          <c:showBubbleSize val="0"/>
        </c:dLbls>
        <c:gapWidth val="150"/>
        <c:overlap val="100"/>
        <c:axId val="606186136"/>
        <c:axId val="606183840"/>
      </c:barChart>
      <c:scatterChart>
        <c:scatterStyle val="lineMarker"/>
        <c:varyColors val="0"/>
        <c:ser>
          <c:idx val="3"/>
          <c:order val="3"/>
          <c:tx>
            <c:strRef>
              <c:f>'LL Revascularisation Summary'!$B$1</c:f>
              <c:strCache>
                <c:ptCount val="1"/>
                <c:pt idx="0">
                  <c:v>Aneurin Bevan University Health Board</c:v>
                </c:pt>
              </c:strCache>
            </c:strRef>
          </c:tx>
          <c:spPr>
            <a:ln w="25400" cap="rnd">
              <a:noFill/>
              <a:round/>
            </a:ln>
            <a:effectLst/>
          </c:spPr>
          <c:marker>
            <c:symbol val="diamond"/>
            <c:size val="12"/>
            <c:spPr>
              <a:solidFill>
                <a:schemeClr val="bg1">
                  <a:lumMod val="50000"/>
                </a:schemeClr>
              </a:solidFill>
              <a:ln w="25400">
                <a:solidFill>
                  <a:schemeClr val="bg1">
                    <a:lumMod val="50000"/>
                  </a:schemeClr>
                </a:solidFill>
              </a:ln>
              <a:effectLst/>
            </c:spPr>
          </c:marker>
          <c:xVal>
            <c:numRef>
              <c:f>'LL Revascularisation Summary'!$AA$6</c:f>
              <c:numCache>
                <c:formatCode>General</c:formatCode>
                <c:ptCount val="1"/>
                <c:pt idx="0">
                  <c:v>59</c:v>
                </c:pt>
              </c:numCache>
            </c:numRef>
          </c:xVal>
          <c:yVal>
            <c:numRef>
              <c:f>'LL Revascularisation Summary'!$AB$6</c:f>
              <c:numCache>
                <c:formatCode>General</c:formatCode>
                <c:ptCount val="1"/>
                <c:pt idx="0">
                  <c:v>15</c:v>
                </c:pt>
              </c:numCache>
            </c:numRef>
          </c:yVal>
          <c:smooth val="0"/>
          <c:extLst>
            <c:ext xmlns:c16="http://schemas.microsoft.com/office/drawing/2014/chart" uri="{C3380CC4-5D6E-409C-BE32-E72D297353CC}">
              <c16:uniqueId val="{0000008F-5F0B-4DF1-8C8F-61CC73068848}"/>
            </c:ext>
          </c:extLst>
        </c:ser>
        <c:dLbls>
          <c:showLegendKey val="0"/>
          <c:showVal val="0"/>
          <c:showCatName val="0"/>
          <c:showSerName val="0"/>
          <c:showPercent val="0"/>
          <c:showBubbleSize val="0"/>
        </c:dLbls>
        <c:axId val="606186136"/>
        <c:axId val="606183840"/>
      </c:scatterChart>
      <c:catAx>
        <c:axId val="606186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6183840"/>
        <c:crosses val="autoZero"/>
        <c:auto val="1"/>
        <c:lblAlgn val="ctr"/>
        <c:lblOffset val="100"/>
        <c:noMultiLvlLbl val="0"/>
      </c:catAx>
      <c:valAx>
        <c:axId val="606183840"/>
        <c:scaling>
          <c:orientation val="minMax"/>
          <c:max val="550"/>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6186136"/>
        <c:crosses val="autoZero"/>
        <c:crossBetween val="between"/>
        <c:majorUnit val="1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'Lower Limb Angioplasty'!$K$1</c:f>
          <c:strCache>
            <c:ptCount val="1"/>
            <c:pt idx="0">
              <c:v>Day Cases 2022</c:v>
            </c:pt>
          </c:strCache>
        </c:strRef>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2.6465108885538578E-2"/>
          <c:y val="9.5993189165075848E-2"/>
          <c:w val="0.95681694014630059"/>
          <c:h val="0.77879970553401279"/>
        </c:manualLayout>
      </c:layout>
      <c:lineChart>
        <c:grouping val="standard"/>
        <c:varyColors val="0"/>
        <c:ser>
          <c:idx val="0"/>
          <c:order val="0"/>
          <c:tx>
            <c:strRef>
              <c:f>'Angioplasty Summary'!$AG$1</c:f>
              <c:strCache>
                <c:ptCount val="1"/>
                <c:pt idx="0">
                  <c:v>Day Cases 2022</c:v>
                </c:pt>
              </c:strCache>
            </c:strRef>
          </c:tx>
          <c:spPr>
            <a:ln w="28575" cap="rnd">
              <a:noFill/>
              <a:round/>
            </a:ln>
            <a:effectLst/>
          </c:spPr>
          <c:marker>
            <c:symbol val="diamond"/>
            <c:size val="7"/>
            <c:spPr>
              <a:solidFill>
                <a:schemeClr val="accent1"/>
              </a:solidFill>
              <a:ln w="9525">
                <a:noFill/>
              </a:ln>
              <a:effectLst/>
            </c:spPr>
          </c:marker>
          <c:errBars>
            <c:errDir val="y"/>
            <c:errBarType val="both"/>
            <c:errValType val="cust"/>
            <c:noEndCap val="1"/>
            <c:plus>
              <c:numRef>
                <c:f>'Angioplasty Summary'!$AI$2:$AI$54</c:f>
                <c:numCache>
                  <c:formatCode>General</c:formatCode>
                  <c:ptCount val="53"/>
                  <c:pt idx="0">
                    <c:v>0.26</c:v>
                  </c:pt>
                  <c:pt idx="1">
                    <c:v>0.10000000134110451</c:v>
                  </c:pt>
                  <c:pt idx="2">
                    <c:v>5.0000002682209027E-2</c:v>
                  </c:pt>
                  <c:pt idx="3">
                    <c:v>0.28999999940395355</c:v>
                  </c:pt>
                  <c:pt idx="4">
                    <c:v>4.9999994039535534E-2</c:v>
                  </c:pt>
                  <c:pt idx="5">
                    <c:v>0.19999999821186065</c:v>
                  </c:pt>
                  <c:pt idx="6">
                    <c:v>0.10000000536441805</c:v>
                  </c:pt>
                  <c:pt idx="7">
                    <c:v>0.11000000476837157</c:v>
                  </c:pt>
                  <c:pt idx="8">
                    <c:v>0.10000001430511474</c:v>
                  </c:pt>
                  <c:pt idx="9">
                    <c:v>0.18000000357627866</c:v>
                  </c:pt>
                  <c:pt idx="10">
                    <c:v>9.0000013113021859E-2</c:v>
                  </c:pt>
                  <c:pt idx="11">
                    <c:v>0.24000000119209286</c:v>
                  </c:pt>
                  <c:pt idx="12">
                    <c:v>9.9999990463256805E-2</c:v>
                  </c:pt>
                  <c:pt idx="13">
                    <c:v>7.999999999999996E-2</c:v>
                  </c:pt>
                  <c:pt idx="14">
                    <c:v>0.15000001907348637</c:v>
                  </c:pt>
                  <c:pt idx="15">
                    <c:v>0.14000001907348636</c:v>
                  </c:pt>
                  <c:pt idx="16">
                    <c:v>0.11000001907348633</c:v>
                  </c:pt>
                  <c:pt idx="17">
                    <c:v>0.1000000286102295</c:v>
                  </c:pt>
                  <c:pt idx="18">
                    <c:v>0.16000002861022944</c:v>
                  </c:pt>
                  <c:pt idx="19">
                    <c:v>0.14999997854232783</c:v>
                  </c:pt>
                  <c:pt idx="20">
                    <c:v>7.9999978542327876E-2</c:v>
                  </c:pt>
                  <c:pt idx="21">
                    <c:v>8.9999985694885209E-2</c:v>
                  </c:pt>
                  <c:pt idx="22">
                    <c:v>6.9999985694885303E-2</c:v>
                  </c:pt>
                  <c:pt idx="23">
                    <c:v>8.0000004768371547E-2</c:v>
                  </c:pt>
                  <c:pt idx="24">
                    <c:v>6.0000004768371529E-2</c:v>
                  </c:pt>
                  <c:pt idx="25">
                    <c:v>9.0000004768371555E-2</c:v>
                  </c:pt>
                  <c:pt idx="26">
                    <c:v>0.19000001430511471</c:v>
                  </c:pt>
                  <c:pt idx="27">
                    <c:v>7.0000014305114711E-2</c:v>
                  </c:pt>
                  <c:pt idx="28">
                    <c:v>8.9999973773956299E-2</c:v>
                  </c:pt>
                  <c:pt idx="29">
                    <c:v>0.15999998331069942</c:v>
                  </c:pt>
                  <c:pt idx="30">
                    <c:v>0.2000000023841858</c:v>
                  </c:pt>
                  <c:pt idx="31">
                    <c:v>6.0000011920928964E-2</c:v>
                  </c:pt>
                  <c:pt idx="32">
                    <c:v>8.0000021457672155E-2</c:v>
                  </c:pt>
                  <c:pt idx="33">
                    <c:v>8.9999971389770561E-2</c:v>
                  </c:pt>
                  <c:pt idx="34">
                    <c:v>6.9999971389770543E-2</c:v>
                  </c:pt>
                  <c:pt idx="35">
                    <c:v>8.9999990463256796E-2</c:v>
                  </c:pt>
                  <c:pt idx="36">
                    <c:v>0.13</c:v>
                  </c:pt>
                  <c:pt idx="37">
                    <c:v>8.9999999999999969E-2</c:v>
                  </c:pt>
                  <c:pt idx="38">
                    <c:v>0.13000000953674318</c:v>
                  </c:pt>
                  <c:pt idx="39">
                    <c:v>0.10000000953674315</c:v>
                  </c:pt>
                  <c:pt idx="40">
                    <c:v>0.11000001907348633</c:v>
                  </c:pt>
                  <c:pt idx="41">
                    <c:v>9.0000019073486315E-2</c:v>
                  </c:pt>
                  <c:pt idx="42">
                    <c:v>6.999998807907104E-2</c:v>
                  </c:pt>
                  <c:pt idx="43">
                    <c:v>5.0000007152557369E-2</c:v>
                  </c:pt>
                  <c:pt idx="44">
                    <c:v>0.12000000715255732</c:v>
                  </c:pt>
                  <c:pt idx="45">
                    <c:v>0.15000001668930052</c:v>
                  </c:pt>
                  <c:pt idx="46">
                    <c:v>6.0000026226043723E-2</c:v>
                  </c:pt>
                  <c:pt idx="47">
                    <c:v>6.0000026226043723E-2</c:v>
                  </c:pt>
                  <c:pt idx="48">
                    <c:v>6.9999985694885303E-2</c:v>
                  </c:pt>
                  <c:pt idx="49">
                    <c:v>7.9999995231628374E-2</c:v>
                  </c:pt>
                  <c:pt idx="50">
                    <c:v>4.9999995231628458E-2</c:v>
                  </c:pt>
                  <c:pt idx="51">
                    <c:v>7.9999995231628374E-2</c:v>
                  </c:pt>
                  <c:pt idx="52">
                    <c:v>0.1099999952316284</c:v>
                  </c:pt>
                </c:numCache>
              </c:numRef>
            </c:plus>
            <c:minus>
              <c:numRef>
                <c:f>'Angioplasty Summary'!$AH$2:$AH$54</c:f>
                <c:numCache>
                  <c:formatCode>General</c:formatCode>
                  <c:ptCount val="53"/>
                  <c:pt idx="0">
                    <c:v>0</c:v>
                  </c:pt>
                  <c:pt idx="1">
                    <c:v>4.9999998658895491E-2</c:v>
                  </c:pt>
                  <c:pt idx="2">
                    <c:v>3.9999997317790983E-2</c:v>
                  </c:pt>
                  <c:pt idx="3">
                    <c:v>0.12000000059604644</c:v>
                  </c:pt>
                  <c:pt idx="4">
                    <c:v>4.0000005960464477E-2</c:v>
                  </c:pt>
                  <c:pt idx="5">
                    <c:v>0.12000000178813934</c:v>
                  </c:pt>
                  <c:pt idx="6">
                    <c:v>7.9999994635581967E-2</c:v>
                  </c:pt>
                  <c:pt idx="7">
                    <c:v>9.9999995231628391E-2</c:v>
                  </c:pt>
                  <c:pt idx="8">
                    <c:v>9.9999985694885274E-2</c:v>
                  </c:pt>
                  <c:pt idx="9">
                    <c:v>0.15999999642372131</c:v>
                  </c:pt>
                  <c:pt idx="10">
                    <c:v>8.9999986886978134E-2</c:v>
                  </c:pt>
                  <c:pt idx="11">
                    <c:v>0.22999999880790711</c:v>
                  </c:pt>
                  <c:pt idx="12">
                    <c:v>9.0000009536743142E-2</c:v>
                  </c:pt>
                  <c:pt idx="13">
                    <c:v>8.0000000000000016E-2</c:v>
                  </c:pt>
                  <c:pt idx="14">
                    <c:v>0.14999998092651368</c:v>
                  </c:pt>
                  <c:pt idx="15">
                    <c:v>0.13999998092651367</c:v>
                  </c:pt>
                  <c:pt idx="16">
                    <c:v>0.1099999809265137</c:v>
                  </c:pt>
                  <c:pt idx="17">
                    <c:v>9.9999971389770514E-2</c:v>
                  </c:pt>
                  <c:pt idx="18">
                    <c:v>0.16999997138977052</c:v>
                  </c:pt>
                  <c:pt idx="19">
                    <c:v>0.15000002145767211</c:v>
                  </c:pt>
                  <c:pt idx="20">
                    <c:v>9.0000021457672108E-2</c:v>
                  </c:pt>
                  <c:pt idx="21">
                    <c:v>9.0000014305114728E-2</c:v>
                  </c:pt>
                  <c:pt idx="22">
                    <c:v>8.0000014305114719E-2</c:v>
                  </c:pt>
                  <c:pt idx="23">
                    <c:v>9.9999995231628391E-2</c:v>
                  </c:pt>
                  <c:pt idx="24">
                    <c:v>6.9999995231628365E-2</c:v>
                  </c:pt>
                  <c:pt idx="25">
                    <c:v>8.9999995231628382E-2</c:v>
                  </c:pt>
                  <c:pt idx="26">
                    <c:v>0.22999998569488528</c:v>
                  </c:pt>
                  <c:pt idx="27">
                    <c:v>7.9999985694885201E-2</c:v>
                  </c:pt>
                  <c:pt idx="28">
                    <c:v>9.000002622604375E-2</c:v>
                  </c:pt>
                  <c:pt idx="29">
                    <c:v>0.21000001668930052</c:v>
                  </c:pt>
                  <c:pt idx="30">
                    <c:v>0.27999999761581423</c:v>
                  </c:pt>
                  <c:pt idx="31">
                    <c:v>5.9999988079071032E-2</c:v>
                  </c:pt>
                  <c:pt idx="32">
                    <c:v>9.9999978542327894E-2</c:v>
                  </c:pt>
                  <c:pt idx="33">
                    <c:v>0.11000002861022951</c:v>
                  </c:pt>
                  <c:pt idx="34">
                    <c:v>8.0000028610229479E-2</c:v>
                  </c:pt>
                  <c:pt idx="35">
                    <c:v>0.11000000953674316</c:v>
                  </c:pt>
                  <c:pt idx="36">
                    <c:v>0.17000000000000004</c:v>
                  </c:pt>
                  <c:pt idx="37">
                    <c:v>0.10999999999999999</c:v>
                  </c:pt>
                  <c:pt idx="38">
                    <c:v>0.15999999046325686</c:v>
                  </c:pt>
                  <c:pt idx="39">
                    <c:v>0.11999999046325682</c:v>
                  </c:pt>
                  <c:pt idx="40">
                    <c:v>0.13999998092651367</c:v>
                  </c:pt>
                  <c:pt idx="41">
                    <c:v>0.11999998092651365</c:v>
                  </c:pt>
                  <c:pt idx="42">
                    <c:v>9.0000011920928991E-2</c:v>
                  </c:pt>
                  <c:pt idx="43">
                    <c:v>5.9999992847442618E-2</c:v>
                  </c:pt>
                  <c:pt idx="44">
                    <c:v>0.18999999284744262</c:v>
                  </c:pt>
                  <c:pt idx="45">
                    <c:v>0.30999998331069945</c:v>
                  </c:pt>
                  <c:pt idx="46">
                    <c:v>6.9999973773956281E-2</c:v>
                  </c:pt>
                  <c:pt idx="47">
                    <c:v>6.9999973773956281E-2</c:v>
                  </c:pt>
                  <c:pt idx="48">
                    <c:v>8.0000014305114719E-2</c:v>
                  </c:pt>
                  <c:pt idx="49">
                    <c:v>0.1400000047683716</c:v>
                  </c:pt>
                  <c:pt idx="50">
                    <c:v>7.0000004768371538E-2</c:v>
                  </c:pt>
                  <c:pt idx="51">
                    <c:v>0.13000000476837159</c:v>
                  </c:pt>
                  <c:pt idx="52">
                    <c:v>0.2700000047683716</c:v>
                  </c:pt>
                </c:numCache>
              </c:numRef>
            </c:minus>
            <c:spPr>
              <a:noFill/>
              <a:ln w="9525" cap="flat" cmpd="sng" algn="ctr">
                <a:solidFill>
                  <a:schemeClr val="tx1"/>
                </a:solidFill>
                <a:round/>
              </a:ln>
              <a:effectLst/>
            </c:spPr>
          </c:errBars>
          <c:cat>
            <c:strRef>
              <c:f>'Angioplasty Summary'!$AE$2:$AE$54</c:f>
              <c:strCache>
                <c:ptCount val="53"/>
                <c:pt idx="0">
                  <c:v>RWP</c:v>
                </c:pt>
                <c:pt idx="1">
                  <c:v>7A4</c:v>
                </c:pt>
                <c:pt idx="2">
                  <c:v>RJ1</c:v>
                </c:pt>
                <c:pt idx="3">
                  <c:v>RVV</c:v>
                </c:pt>
                <c:pt idx="4">
                  <c:v>RDE</c:v>
                </c:pt>
                <c:pt idx="5">
                  <c:v>RWE</c:v>
                </c:pt>
                <c:pt idx="6">
                  <c:v>RJ7</c:v>
                </c:pt>
                <c:pt idx="7">
                  <c:v>RJZ</c:v>
                </c:pt>
                <c:pt idx="8">
                  <c:v>RYR</c:v>
                </c:pt>
                <c:pt idx="9">
                  <c:v>RN5</c:v>
                </c:pt>
                <c:pt idx="10">
                  <c:v>RJR</c:v>
                </c:pt>
                <c:pt idx="11">
                  <c:v>R1H</c:v>
                </c:pt>
                <c:pt idx="12">
                  <c:v>RM1</c:v>
                </c:pt>
                <c:pt idx="13">
                  <c:v>R1K</c:v>
                </c:pt>
                <c:pt idx="14">
                  <c:v>R0D</c:v>
                </c:pt>
                <c:pt idx="15">
                  <c:v>RDU</c:v>
                </c:pt>
                <c:pt idx="16">
                  <c:v>RWD</c:v>
                </c:pt>
                <c:pt idx="17">
                  <c:v>R0B</c:v>
                </c:pt>
                <c:pt idx="18">
                  <c:v>RTE</c:v>
                </c:pt>
                <c:pt idx="19">
                  <c:v>RAJ</c:v>
                </c:pt>
                <c:pt idx="20">
                  <c:v>RTG</c:v>
                </c:pt>
                <c:pt idx="21">
                  <c:v>RRK</c:v>
                </c:pt>
                <c:pt idx="22">
                  <c:v>RXR</c:v>
                </c:pt>
                <c:pt idx="23">
                  <c:v>REM</c:v>
                </c:pt>
                <c:pt idx="24">
                  <c:v>RH5</c:v>
                </c:pt>
                <c:pt idx="25">
                  <c:v>RVJ</c:v>
                </c:pt>
                <c:pt idx="26">
                  <c:v>RR8</c:v>
                </c:pt>
                <c:pt idx="27">
                  <c:v>RYJ</c:v>
                </c:pt>
                <c:pt idx="28">
                  <c:v>ZT001</c:v>
                </c:pt>
                <c:pt idx="29">
                  <c:v>RHQ</c:v>
                </c:pt>
                <c:pt idx="30">
                  <c:v>RKB</c:v>
                </c:pt>
                <c:pt idx="31">
                  <c:v>RWA</c:v>
                </c:pt>
                <c:pt idx="32">
                  <c:v>RJE</c:v>
                </c:pt>
                <c:pt idx="33">
                  <c:v>R0A</c:v>
                </c:pt>
                <c:pt idx="34">
                  <c:v>RXN</c:v>
                </c:pt>
                <c:pt idx="35">
                  <c:v>RH8</c:v>
                </c:pt>
                <c:pt idx="36">
                  <c:v>7A6</c:v>
                </c:pt>
                <c:pt idx="37">
                  <c:v>RNA</c:v>
                </c:pt>
                <c:pt idx="38">
                  <c:v>7A3</c:v>
                </c:pt>
                <c:pt idx="39">
                  <c:v>RF4</c:v>
                </c:pt>
                <c:pt idx="40">
                  <c:v>RGT</c:v>
                </c:pt>
                <c:pt idx="41">
                  <c:v>RHW</c:v>
                </c:pt>
                <c:pt idx="42">
                  <c:v>REF</c:v>
                </c:pt>
                <c:pt idx="43">
                  <c:v>RTD</c:v>
                </c:pt>
                <c:pt idx="44">
                  <c:v>RWH</c:v>
                </c:pt>
                <c:pt idx="45">
                  <c:v>RVY</c:v>
                </c:pt>
                <c:pt idx="46">
                  <c:v>RCB</c:v>
                </c:pt>
                <c:pt idx="47">
                  <c:v>RXW</c:v>
                </c:pt>
                <c:pt idx="48">
                  <c:v>RC9</c:v>
                </c:pt>
                <c:pt idx="49">
                  <c:v>RBN</c:v>
                </c:pt>
                <c:pt idx="50">
                  <c:v>RNN</c:v>
                </c:pt>
                <c:pt idx="51">
                  <c:v>RXF</c:v>
                </c:pt>
                <c:pt idx="52">
                  <c:v>SV999</c:v>
                </c:pt>
              </c:strCache>
            </c:strRef>
          </c:cat>
          <c:val>
            <c:numRef>
              <c:f>'Angioplasty Summary'!$AG$2:$AG$54</c:f>
              <c:numCache>
                <c:formatCode>0%</c:formatCode>
                <c:ptCount val="53"/>
                <c:pt idx="0">
                  <c:v>0</c:v>
                </c:pt>
                <c:pt idx="1">
                  <c:v>5.9999998658895493E-2</c:v>
                </c:pt>
                <c:pt idx="2">
                  <c:v>0.11999999731779099</c:v>
                </c:pt>
                <c:pt idx="3">
                  <c:v>0.14000000059604645</c:v>
                </c:pt>
                <c:pt idx="4">
                  <c:v>0.15000000596046448</c:v>
                </c:pt>
                <c:pt idx="5">
                  <c:v>0.17000000178813934</c:v>
                </c:pt>
                <c:pt idx="6">
                  <c:v>0.23999999463558197</c:v>
                </c:pt>
                <c:pt idx="7">
                  <c:v>0.37999999523162842</c:v>
                </c:pt>
                <c:pt idx="8">
                  <c:v>0.38999998569488525</c:v>
                </c:pt>
                <c:pt idx="9">
                  <c:v>0.40999999642372131</c:v>
                </c:pt>
                <c:pt idx="10">
                  <c:v>0.41999998688697815</c:v>
                </c:pt>
                <c:pt idx="11">
                  <c:v>0.4699999988079071</c:v>
                </c:pt>
                <c:pt idx="12">
                  <c:v>0.49000000953674316</c:v>
                </c:pt>
                <c:pt idx="13">
                  <c:v>0.5</c:v>
                </c:pt>
                <c:pt idx="14">
                  <c:v>0.51999998092651367</c:v>
                </c:pt>
                <c:pt idx="15">
                  <c:v>0.51999998092651367</c:v>
                </c:pt>
                <c:pt idx="16">
                  <c:v>0.51999998092651367</c:v>
                </c:pt>
                <c:pt idx="17">
                  <c:v>0.52999997138977051</c:v>
                </c:pt>
                <c:pt idx="18">
                  <c:v>0.52999997138977051</c:v>
                </c:pt>
                <c:pt idx="19">
                  <c:v>0.54000002145767212</c:v>
                </c:pt>
                <c:pt idx="20">
                  <c:v>0.54000002145767212</c:v>
                </c:pt>
                <c:pt idx="21">
                  <c:v>0.61000001430511475</c:v>
                </c:pt>
                <c:pt idx="22">
                  <c:v>0.61000001430511475</c:v>
                </c:pt>
                <c:pt idx="23">
                  <c:v>0.62999999523162842</c:v>
                </c:pt>
                <c:pt idx="24">
                  <c:v>0.62999999523162842</c:v>
                </c:pt>
                <c:pt idx="25">
                  <c:v>0.62999999523162842</c:v>
                </c:pt>
                <c:pt idx="26">
                  <c:v>0.63999998569488525</c:v>
                </c:pt>
                <c:pt idx="27">
                  <c:v>0.63999998569488525</c:v>
                </c:pt>
                <c:pt idx="28">
                  <c:v>0.6600000262260437</c:v>
                </c:pt>
                <c:pt idx="29">
                  <c:v>0.67000001668930054</c:v>
                </c:pt>
                <c:pt idx="30">
                  <c:v>0.68999999761581421</c:v>
                </c:pt>
                <c:pt idx="31">
                  <c:v>0.69999998807907104</c:v>
                </c:pt>
                <c:pt idx="32">
                  <c:v>0.70999997854232788</c:v>
                </c:pt>
                <c:pt idx="33">
                  <c:v>0.72000002861022949</c:v>
                </c:pt>
                <c:pt idx="34">
                  <c:v>0.72000002861022949</c:v>
                </c:pt>
                <c:pt idx="35">
                  <c:v>0.74000000953674316</c:v>
                </c:pt>
                <c:pt idx="36">
                  <c:v>0.75</c:v>
                </c:pt>
                <c:pt idx="37">
                  <c:v>0.75</c:v>
                </c:pt>
                <c:pt idx="38">
                  <c:v>0.75999999046325684</c:v>
                </c:pt>
                <c:pt idx="39">
                  <c:v>0.75999999046325684</c:v>
                </c:pt>
                <c:pt idx="40">
                  <c:v>0.76999998092651367</c:v>
                </c:pt>
                <c:pt idx="41">
                  <c:v>0.76999998092651367</c:v>
                </c:pt>
                <c:pt idx="42">
                  <c:v>0.80000001192092896</c:v>
                </c:pt>
                <c:pt idx="43">
                  <c:v>0.81999999284744263</c:v>
                </c:pt>
                <c:pt idx="44">
                  <c:v>0.81999999284744263</c:v>
                </c:pt>
                <c:pt idx="45">
                  <c:v>0.82999998331069946</c:v>
                </c:pt>
                <c:pt idx="46">
                  <c:v>0.8399999737739563</c:v>
                </c:pt>
                <c:pt idx="47">
                  <c:v>0.8399999737739563</c:v>
                </c:pt>
                <c:pt idx="48">
                  <c:v>0.86000001430511475</c:v>
                </c:pt>
                <c:pt idx="49">
                  <c:v>0.87000000476837158</c:v>
                </c:pt>
                <c:pt idx="50">
                  <c:v>0.87000000476837158</c:v>
                </c:pt>
                <c:pt idx="51">
                  <c:v>0.87000000476837158</c:v>
                </c:pt>
                <c:pt idx="52">
                  <c:v>0.87000000476837158</c:v>
                </c:pt>
              </c:numCache>
            </c:numRef>
          </c:val>
          <c:smooth val="0"/>
          <c:extLst>
            <c:ext xmlns:c16="http://schemas.microsoft.com/office/drawing/2014/chart" uri="{C3380CC4-5D6E-409C-BE32-E72D297353CC}">
              <c16:uniqueId val="{00000000-5E8C-45FF-9349-945CD7C6D071}"/>
            </c:ext>
          </c:extLst>
        </c:ser>
        <c:dLbls>
          <c:showLegendKey val="0"/>
          <c:showVal val="0"/>
          <c:showCatName val="0"/>
          <c:showSerName val="0"/>
          <c:showPercent val="0"/>
          <c:showBubbleSize val="0"/>
        </c:dLbls>
        <c:marker val="1"/>
        <c:smooth val="0"/>
        <c:axId val="606186136"/>
        <c:axId val="606183840"/>
      </c:lineChart>
      <c:scatterChart>
        <c:scatterStyle val="lineMarker"/>
        <c:varyColors val="0"/>
        <c:ser>
          <c:idx val="1"/>
          <c:order val="1"/>
          <c:tx>
            <c:strRef>
              <c:f>'Angioplasty Summary'!$B$30</c:f>
              <c:strCache>
                <c:ptCount val="1"/>
                <c:pt idx="0">
                  <c:v>Aneurin Bevan University Health Board</c:v>
                </c:pt>
              </c:strCache>
            </c:strRef>
          </c:tx>
          <c:spPr>
            <a:ln w="25400" cap="rnd">
              <a:noFill/>
              <a:round/>
            </a:ln>
            <a:effectLst/>
          </c:spPr>
          <c:marker>
            <c:symbol val="circle"/>
            <c:size val="5"/>
            <c:spPr>
              <a:solidFill>
                <a:srgbClr val="FFC000"/>
              </a:solidFill>
              <a:ln w="9525">
                <a:noFill/>
              </a:ln>
              <a:effectLst/>
            </c:spPr>
          </c:marker>
          <c:errBars>
            <c:errDir val="y"/>
            <c:errBarType val="both"/>
            <c:errValType val="cust"/>
            <c:noEndCap val="1"/>
            <c:plus>
              <c:numRef>
                <c:f>'Angioplasty Summary'!$AD$2</c:f>
                <c:numCache>
                  <c:formatCode>General</c:formatCode>
                  <c:ptCount val="1"/>
                  <c:pt idx="0">
                    <c:v>0.13</c:v>
                  </c:pt>
                </c:numCache>
              </c:numRef>
            </c:plus>
            <c:minus>
              <c:numRef>
                <c:f>'Angioplasty Summary'!$AC$2</c:f>
                <c:numCache>
                  <c:formatCode>General</c:formatCode>
                  <c:ptCount val="1"/>
                  <c:pt idx="0">
                    <c:v>0.17000000000000004</c:v>
                  </c:pt>
                </c:numCache>
              </c:numRef>
            </c:minus>
            <c:spPr>
              <a:noFill/>
              <a:ln w="12700" cap="flat" cmpd="sng" algn="ctr">
                <a:solidFill>
                  <a:schemeClr val="accent2"/>
                </a:solidFill>
                <a:round/>
              </a:ln>
              <a:effectLst/>
            </c:spPr>
          </c:errBars>
          <c:xVal>
            <c:numRef>
              <c:f>'Angioplasty Summary'!$AA$2</c:f>
              <c:numCache>
                <c:formatCode>General</c:formatCode>
                <c:ptCount val="1"/>
                <c:pt idx="0">
                  <c:v>37</c:v>
                </c:pt>
              </c:numCache>
            </c:numRef>
          </c:xVal>
          <c:yVal>
            <c:numRef>
              <c:f>'Angioplasty Summary'!$AB$2</c:f>
              <c:numCache>
                <c:formatCode>0.00%</c:formatCode>
                <c:ptCount val="1"/>
                <c:pt idx="0">
                  <c:v>0.75</c:v>
                </c:pt>
              </c:numCache>
            </c:numRef>
          </c:yVal>
          <c:smooth val="0"/>
          <c:extLst>
            <c:ext xmlns:c16="http://schemas.microsoft.com/office/drawing/2014/chart" uri="{C3380CC4-5D6E-409C-BE32-E72D297353CC}">
              <c16:uniqueId val="{00000001-5E8C-45FF-9349-945CD7C6D071}"/>
            </c:ext>
          </c:extLst>
        </c:ser>
        <c:dLbls>
          <c:showLegendKey val="0"/>
          <c:showVal val="0"/>
          <c:showCatName val="0"/>
          <c:showSerName val="0"/>
          <c:showPercent val="0"/>
          <c:showBubbleSize val="0"/>
        </c:dLbls>
        <c:axId val="606186136"/>
        <c:axId val="606183840"/>
      </c:scatterChart>
      <c:catAx>
        <c:axId val="606186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mn-lt"/>
                <a:ea typeface="+mn-ea"/>
                <a:cs typeface="+mn-cs"/>
              </a:defRPr>
            </a:pPr>
            <a:endParaRPr lang="en-US"/>
          </a:p>
        </c:txPr>
        <c:crossAx val="606183840"/>
        <c:crosses val="autoZero"/>
        <c:auto val="1"/>
        <c:lblAlgn val="ctr"/>
        <c:lblOffset val="0"/>
        <c:noMultiLvlLbl val="1"/>
      </c:catAx>
      <c:valAx>
        <c:axId val="6061838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606186136"/>
        <c:crosses val="autoZero"/>
        <c:crossBetween val="between"/>
      </c:valAx>
      <c:spPr>
        <a:noFill/>
        <a:ln>
          <a:noFill/>
        </a:ln>
        <a:effectLst/>
      </c:spPr>
    </c:plotArea>
    <c:legend>
      <c:legendPos val="b"/>
      <c:layout>
        <c:manualLayout>
          <c:xMode val="edge"/>
          <c:yMode val="edge"/>
          <c:x val="0.34985816661891267"/>
          <c:y val="0.93748461959748641"/>
          <c:w val="0.30028366676217466"/>
          <c:h val="5.4535896681393456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'Lower Limb Angioplasty'!$L$1</c:f>
              <c:strCache>
                <c:ptCount val="1"/>
                <c:pt idx="0">
                  <c:v>Adjusted in-hospital mortality angio</c:v>
                </c:pt>
              </c:strCache>
            </c:strRef>
          </c:tx>
          <c:spPr>
            <a:ln w="25400" cap="rnd">
              <a:noFill/>
              <a:round/>
            </a:ln>
            <a:effectLst/>
          </c:spPr>
          <c:marker>
            <c:symbol val="circle"/>
            <c:size val="5"/>
            <c:spPr>
              <a:solidFill>
                <a:schemeClr val="tx1"/>
              </a:solidFill>
              <a:ln w="9525">
                <a:noFill/>
              </a:ln>
              <a:effectLst/>
            </c:spPr>
          </c:marker>
          <c:xVal>
            <c:numRef>
              <c:f>'Lower Limb Angioplasty'!$C$2:$C$92</c:f>
              <c:numCache>
                <c:formatCode>#,##0</c:formatCode>
                <c:ptCount val="91"/>
                <c:pt idx="0">
                  <c:v>111</c:v>
                </c:pt>
                <c:pt idx="1">
                  <c:v>1</c:v>
                </c:pt>
                <c:pt idx="2">
                  <c:v>375</c:v>
                </c:pt>
                <c:pt idx="3">
                  <c:v>251</c:v>
                </c:pt>
                <c:pt idx="4">
                  <c:v>397</c:v>
                </c:pt>
                <c:pt idx="5">
                  <c:v>321</c:v>
                </c:pt>
                <c:pt idx="6">
                  <c:v>8</c:v>
                </c:pt>
                <c:pt idx="7">
                  <c:v>111</c:v>
                </c:pt>
                <c:pt idx="8">
                  <c:v>34</c:v>
                </c:pt>
                <c:pt idx="9">
                  <c:v>0</c:v>
                </c:pt>
                <c:pt idx="10">
                  <c:v>121</c:v>
                </c:pt>
                <c:pt idx="11">
                  <c:v>191</c:v>
                </c:pt>
                <c:pt idx="12">
                  <c:v>347</c:v>
                </c:pt>
                <c:pt idx="13">
                  <c:v>0</c:v>
                </c:pt>
                <c:pt idx="14">
                  <c:v>3</c:v>
                </c:pt>
                <c:pt idx="15">
                  <c:v>94</c:v>
                </c:pt>
                <c:pt idx="16">
                  <c:v>92</c:v>
                </c:pt>
                <c:pt idx="17">
                  <c:v>717</c:v>
                </c:pt>
                <c:pt idx="18">
                  <c:v>461</c:v>
                </c:pt>
                <c:pt idx="19">
                  <c:v>215</c:v>
                </c:pt>
                <c:pt idx="20">
                  <c:v>23</c:v>
                </c:pt>
                <c:pt idx="21">
                  <c:v>169</c:v>
                </c:pt>
                <c:pt idx="22">
                  <c:v>25</c:v>
                </c:pt>
                <c:pt idx="23">
                  <c:v>830</c:v>
                </c:pt>
                <c:pt idx="24">
                  <c:v>82</c:v>
                </c:pt>
                <c:pt idx="25">
                  <c:v>1087</c:v>
                </c:pt>
                <c:pt idx="26">
                  <c:v>573</c:v>
                </c:pt>
                <c:pt idx="27">
                  <c:v>194</c:v>
                </c:pt>
                <c:pt idx="28">
                  <c:v>720</c:v>
                </c:pt>
                <c:pt idx="29">
                  <c:v>150</c:v>
                </c:pt>
                <c:pt idx="30">
                  <c:v>514</c:v>
                </c:pt>
                <c:pt idx="31">
                  <c:v>532</c:v>
                </c:pt>
                <c:pt idx="32">
                  <c:v>543</c:v>
                </c:pt>
                <c:pt idx="33">
                  <c:v>8</c:v>
                </c:pt>
                <c:pt idx="34">
                  <c:v>135</c:v>
                </c:pt>
                <c:pt idx="35">
                  <c:v>109</c:v>
                </c:pt>
                <c:pt idx="36">
                  <c:v>7</c:v>
                </c:pt>
                <c:pt idx="37">
                  <c:v>742</c:v>
                </c:pt>
                <c:pt idx="38">
                  <c:v>0</c:v>
                </c:pt>
                <c:pt idx="39">
                  <c:v>32</c:v>
                </c:pt>
                <c:pt idx="40">
                  <c:v>61</c:v>
                </c:pt>
                <c:pt idx="41">
                  <c:v>26</c:v>
                </c:pt>
                <c:pt idx="42">
                  <c:v>14</c:v>
                </c:pt>
                <c:pt idx="43">
                  <c:v>0</c:v>
                </c:pt>
                <c:pt idx="44">
                  <c:v>0</c:v>
                </c:pt>
                <c:pt idx="45">
                  <c:v>0</c:v>
                </c:pt>
                <c:pt idx="46">
                  <c:v>0</c:v>
                </c:pt>
                <c:pt idx="47">
                  <c:v>260</c:v>
                </c:pt>
                <c:pt idx="48">
                  <c:v>585</c:v>
                </c:pt>
                <c:pt idx="49">
                  <c:v>539</c:v>
                </c:pt>
                <c:pt idx="50">
                  <c:v>1</c:v>
                </c:pt>
                <c:pt idx="51">
                  <c:v>402</c:v>
                </c:pt>
                <c:pt idx="52">
                  <c:v>299</c:v>
                </c:pt>
                <c:pt idx="53">
                  <c:v>0</c:v>
                </c:pt>
                <c:pt idx="54">
                  <c:v>40</c:v>
                </c:pt>
                <c:pt idx="55">
                  <c:v>0</c:v>
                </c:pt>
                <c:pt idx="56">
                  <c:v>246</c:v>
                </c:pt>
                <c:pt idx="57">
                  <c:v>4</c:v>
                </c:pt>
                <c:pt idx="58">
                  <c:v>294</c:v>
                </c:pt>
                <c:pt idx="59">
                  <c:v>347</c:v>
                </c:pt>
                <c:pt idx="60">
                  <c:v>107</c:v>
                </c:pt>
                <c:pt idx="61">
                  <c:v>0</c:v>
                </c:pt>
                <c:pt idx="62">
                  <c:v>48</c:v>
                </c:pt>
                <c:pt idx="63">
                  <c:v>83</c:v>
                </c:pt>
                <c:pt idx="64">
                  <c:v>466</c:v>
                </c:pt>
                <c:pt idx="65">
                  <c:v>733</c:v>
                </c:pt>
                <c:pt idx="66">
                  <c:v>10</c:v>
                </c:pt>
                <c:pt idx="67">
                  <c:v>277</c:v>
                </c:pt>
                <c:pt idx="68">
                  <c:v>51</c:v>
                </c:pt>
                <c:pt idx="69">
                  <c:v>448</c:v>
                </c:pt>
                <c:pt idx="70">
                  <c:v>111</c:v>
                </c:pt>
                <c:pt idx="71">
                  <c:v>175</c:v>
                </c:pt>
                <c:pt idx="72">
                  <c:v>436</c:v>
                </c:pt>
                <c:pt idx="73">
                  <c:v>327</c:v>
                </c:pt>
                <c:pt idx="74">
                  <c:v>0</c:v>
                </c:pt>
                <c:pt idx="75">
                  <c:v>425</c:v>
                </c:pt>
                <c:pt idx="76">
                  <c:v>45</c:v>
                </c:pt>
                <c:pt idx="77">
                  <c:v>653</c:v>
                </c:pt>
                <c:pt idx="78">
                  <c:v>148</c:v>
                </c:pt>
                <c:pt idx="79">
                  <c:v>139</c:v>
                </c:pt>
                <c:pt idx="80">
                  <c:v>834</c:v>
                </c:pt>
                <c:pt idx="81">
                  <c:v>181</c:v>
                </c:pt>
                <c:pt idx="82">
                  <c:v>51</c:v>
                </c:pt>
                <c:pt idx="83">
                  <c:v>805</c:v>
                </c:pt>
                <c:pt idx="84">
                  <c:v>450</c:v>
                </c:pt>
                <c:pt idx="85">
                  <c:v>8</c:v>
                </c:pt>
                <c:pt idx="86">
                  <c:v>31</c:v>
                </c:pt>
                <c:pt idx="87">
                  <c:v>2</c:v>
                </c:pt>
                <c:pt idx="88">
                  <c:v>295</c:v>
                </c:pt>
                <c:pt idx="89">
                  <c:v>197</c:v>
                </c:pt>
                <c:pt idx="90">
                  <c:v>840</c:v>
                </c:pt>
              </c:numCache>
            </c:numRef>
          </c:xVal>
          <c:yVal>
            <c:numRef>
              <c:f>'Lower Limb Angioplasty'!$L$2:$L$92</c:f>
              <c:numCache>
                <c:formatCode>0.0%</c:formatCode>
                <c:ptCount val="91"/>
                <c:pt idx="0">
                  <c:v>1.0208217427134514E-2</c:v>
                </c:pt>
                <c:pt idx="1">
                  <c:v>0</c:v>
                </c:pt>
                <c:pt idx="2">
                  <c:v>1.9150903448462486E-2</c:v>
                </c:pt>
                <c:pt idx="3">
                  <c:v>2.9332118108868599E-2</c:v>
                </c:pt>
                <c:pt idx="4">
                  <c:v>9.4934757798910141E-3</c:v>
                </c:pt>
                <c:pt idx="5">
                  <c:v>1.0496840812265873E-2</c:v>
                </c:pt>
                <c:pt idx="6">
                  <c:v>0</c:v>
                </c:pt>
                <c:pt idx="7">
                  <c:v>0</c:v>
                </c:pt>
                <c:pt idx="8">
                  <c:v>0</c:v>
                </c:pt>
                <c:pt idx="9" formatCode="0">
                  <c:v>0</c:v>
                </c:pt>
                <c:pt idx="10">
                  <c:v>1.170450821518898E-2</c:v>
                </c:pt>
                <c:pt idx="11">
                  <c:v>1.5411552973091602E-2</c:v>
                </c:pt>
                <c:pt idx="12">
                  <c:v>1.2035803869366646E-2</c:v>
                </c:pt>
                <c:pt idx="13" formatCode="0">
                  <c:v>0</c:v>
                </c:pt>
                <c:pt idx="14">
                  <c:v>0</c:v>
                </c:pt>
                <c:pt idx="15">
                  <c:v>4.0637589991092682E-2</c:v>
                </c:pt>
                <c:pt idx="16">
                  <c:v>0</c:v>
                </c:pt>
                <c:pt idx="17">
                  <c:v>2.0054934546351433E-2</c:v>
                </c:pt>
                <c:pt idx="18">
                  <c:v>8.998584933578968E-3</c:v>
                </c:pt>
                <c:pt idx="19">
                  <c:v>2.3378007113933563E-2</c:v>
                </c:pt>
                <c:pt idx="20">
                  <c:v>0</c:v>
                </c:pt>
                <c:pt idx="21">
                  <c:v>1.9413299858570099E-2</c:v>
                </c:pt>
                <c:pt idx="22">
                  <c:v>0</c:v>
                </c:pt>
                <c:pt idx="23">
                  <c:v>2.459426037967205E-2</c:v>
                </c:pt>
                <c:pt idx="24">
                  <c:v>7.4222035706043243E-2</c:v>
                </c:pt>
                <c:pt idx="25">
                  <c:v>1.8775708973407745E-2</c:v>
                </c:pt>
                <c:pt idx="26">
                  <c:v>1.8371386453509331E-2</c:v>
                </c:pt>
                <c:pt idx="27">
                  <c:v>3.0908370390534401E-2</c:v>
                </c:pt>
                <c:pt idx="28">
                  <c:v>2.3653971031308174E-2</c:v>
                </c:pt>
                <c:pt idx="29">
                  <c:v>1.7063234001398087E-2</c:v>
                </c:pt>
                <c:pt idx="30">
                  <c:v>1.6244633123278618E-2</c:v>
                </c:pt>
                <c:pt idx="31">
                  <c:v>3.5324253141880035E-2</c:v>
                </c:pt>
                <c:pt idx="32">
                  <c:v>2.2012129426002502E-2</c:v>
                </c:pt>
                <c:pt idx="33">
                  <c:v>0</c:v>
                </c:pt>
                <c:pt idx="34">
                  <c:v>1.6161352396011353E-2</c:v>
                </c:pt>
                <c:pt idx="35">
                  <c:v>0</c:v>
                </c:pt>
                <c:pt idx="36">
                  <c:v>0</c:v>
                </c:pt>
                <c:pt idx="37">
                  <c:v>2.1103132516145706E-2</c:v>
                </c:pt>
                <c:pt idx="38" formatCode="0">
                  <c:v>0</c:v>
                </c:pt>
                <c:pt idx="39">
                  <c:v>0</c:v>
                </c:pt>
                <c:pt idx="40">
                  <c:v>0</c:v>
                </c:pt>
                <c:pt idx="41">
                  <c:v>0</c:v>
                </c:pt>
                <c:pt idx="42">
                  <c:v>0</c:v>
                </c:pt>
                <c:pt idx="43" formatCode="0">
                  <c:v>0</c:v>
                </c:pt>
                <c:pt idx="44" formatCode="0">
                  <c:v>0</c:v>
                </c:pt>
                <c:pt idx="45" formatCode="0">
                  <c:v>0</c:v>
                </c:pt>
                <c:pt idx="46" formatCode="0">
                  <c:v>0</c:v>
                </c:pt>
                <c:pt idx="47">
                  <c:v>1.4714764431118965E-2</c:v>
                </c:pt>
                <c:pt idx="48">
                  <c:v>1.3306978158652782E-2</c:v>
                </c:pt>
                <c:pt idx="49">
                  <c:v>2.0514767616987228E-2</c:v>
                </c:pt>
                <c:pt idx="50">
                  <c:v>0</c:v>
                </c:pt>
                <c:pt idx="51">
                  <c:v>1.0549982078373432E-2</c:v>
                </c:pt>
                <c:pt idx="52">
                  <c:v>2.6223454624414444E-2</c:v>
                </c:pt>
                <c:pt idx="53" formatCode="0">
                  <c:v>0</c:v>
                </c:pt>
                <c:pt idx="54">
                  <c:v>0</c:v>
                </c:pt>
                <c:pt idx="55" formatCode="0">
                  <c:v>0</c:v>
                </c:pt>
                <c:pt idx="56">
                  <c:v>1.221097819507122E-2</c:v>
                </c:pt>
                <c:pt idx="57">
                  <c:v>0</c:v>
                </c:pt>
                <c:pt idx="58">
                  <c:v>1.0565049946308136E-2</c:v>
                </c:pt>
                <c:pt idx="59">
                  <c:v>4.4142790138721466E-2</c:v>
                </c:pt>
                <c:pt idx="60">
                  <c:v>1.91617701202631E-2</c:v>
                </c:pt>
                <c:pt idx="61" formatCode="0">
                  <c:v>0</c:v>
                </c:pt>
                <c:pt idx="62">
                  <c:v>3.9279896765947342E-2</c:v>
                </c:pt>
                <c:pt idx="63">
                  <c:v>1.2660257518291473E-2</c:v>
                </c:pt>
                <c:pt idx="64">
                  <c:v>1.4446599408984184E-2</c:v>
                </c:pt>
                <c:pt idx="65">
                  <c:v>2.0052153617143631E-2</c:v>
                </c:pt>
                <c:pt idx="66">
                  <c:v>0</c:v>
                </c:pt>
                <c:pt idx="67">
                  <c:v>1.8033776432275772E-2</c:v>
                </c:pt>
                <c:pt idx="68">
                  <c:v>9.1723665595054626E-2</c:v>
                </c:pt>
                <c:pt idx="69">
                  <c:v>2.167116105556488E-2</c:v>
                </c:pt>
                <c:pt idx="70">
                  <c:v>3.5030264407396317E-2</c:v>
                </c:pt>
                <c:pt idx="71">
                  <c:v>2.5922898203134537E-2</c:v>
                </c:pt>
                <c:pt idx="72">
                  <c:v>2.6073887944221497E-2</c:v>
                </c:pt>
                <c:pt idx="73">
                  <c:v>3.0594194307923317E-2</c:v>
                </c:pt>
                <c:pt idx="74" formatCode="0">
                  <c:v>0</c:v>
                </c:pt>
                <c:pt idx="75">
                  <c:v>6.7539387382566929E-3</c:v>
                </c:pt>
                <c:pt idx="76">
                  <c:v>0</c:v>
                </c:pt>
                <c:pt idx="77">
                  <c:v>1.9349293783307076E-2</c:v>
                </c:pt>
                <c:pt idx="78">
                  <c:v>0</c:v>
                </c:pt>
                <c:pt idx="79">
                  <c:v>7.6359109953045845E-3</c:v>
                </c:pt>
                <c:pt idx="80">
                  <c:v>1.5150552615523338E-2</c:v>
                </c:pt>
                <c:pt idx="81">
                  <c:v>1.2342244386672974E-2</c:v>
                </c:pt>
                <c:pt idx="82">
                  <c:v>0</c:v>
                </c:pt>
                <c:pt idx="83">
                  <c:v>1.4111979864537716E-2</c:v>
                </c:pt>
                <c:pt idx="84">
                  <c:v>1.9950717687606812E-2</c:v>
                </c:pt>
                <c:pt idx="85">
                  <c:v>0</c:v>
                </c:pt>
                <c:pt idx="86">
                  <c:v>3.4164164215326309E-2</c:v>
                </c:pt>
                <c:pt idx="87">
                  <c:v>0</c:v>
                </c:pt>
                <c:pt idx="88">
                  <c:v>1.9228912889957428E-2</c:v>
                </c:pt>
                <c:pt idx="89">
                  <c:v>0</c:v>
                </c:pt>
                <c:pt idx="90">
                  <c:v>1.8737344071269035E-2</c:v>
                </c:pt>
              </c:numCache>
            </c:numRef>
          </c:yVal>
          <c:smooth val="0"/>
          <c:extLst>
            <c:ext xmlns:c16="http://schemas.microsoft.com/office/drawing/2014/chart" uri="{C3380CC4-5D6E-409C-BE32-E72D297353CC}">
              <c16:uniqueId val="{00000000-41E3-401B-82A3-4464EDE6AA65}"/>
            </c:ext>
          </c:extLst>
        </c:ser>
        <c:ser>
          <c:idx val="1"/>
          <c:order val="1"/>
          <c:tx>
            <c:v>National Rate</c:v>
          </c:tx>
          <c:spPr>
            <a:ln w="19050" cap="rnd">
              <a:solidFill>
                <a:srgbClr val="00B050"/>
              </a:solidFill>
              <a:round/>
            </a:ln>
            <a:effectLst/>
          </c:spPr>
          <c:marker>
            <c:symbol val="none"/>
          </c:marker>
          <c:xVal>
            <c:numRef>
              <c:f>'Angio Funnel'!$B$2:$B$72</c:f>
              <c:numCache>
                <c:formatCode>#,##0</c:formatCode>
                <c:ptCount val="71"/>
                <c:pt idx="0" formatCode="General">
                  <c:v>0</c:v>
                </c:pt>
                <c:pt idx="1">
                  <c:v>7</c:v>
                </c:pt>
                <c:pt idx="2">
                  <c:v>8</c:v>
                </c:pt>
                <c:pt idx="3">
                  <c:v>10</c:v>
                </c:pt>
                <c:pt idx="4">
                  <c:v>14</c:v>
                </c:pt>
                <c:pt idx="5">
                  <c:v>23</c:v>
                </c:pt>
                <c:pt idx="6">
                  <c:v>25</c:v>
                </c:pt>
                <c:pt idx="7">
                  <c:v>26</c:v>
                </c:pt>
                <c:pt idx="8">
                  <c:v>31</c:v>
                </c:pt>
                <c:pt idx="9">
                  <c:v>32</c:v>
                </c:pt>
                <c:pt idx="10">
                  <c:v>34</c:v>
                </c:pt>
                <c:pt idx="11">
                  <c:v>40</c:v>
                </c:pt>
                <c:pt idx="12">
                  <c:v>45</c:v>
                </c:pt>
                <c:pt idx="13">
                  <c:v>48</c:v>
                </c:pt>
                <c:pt idx="14">
                  <c:v>51</c:v>
                </c:pt>
                <c:pt idx="15">
                  <c:v>61</c:v>
                </c:pt>
                <c:pt idx="16">
                  <c:v>82</c:v>
                </c:pt>
                <c:pt idx="17">
                  <c:v>83</c:v>
                </c:pt>
                <c:pt idx="18">
                  <c:v>92</c:v>
                </c:pt>
                <c:pt idx="19">
                  <c:v>94</c:v>
                </c:pt>
                <c:pt idx="20">
                  <c:v>107</c:v>
                </c:pt>
                <c:pt idx="21">
                  <c:v>109</c:v>
                </c:pt>
                <c:pt idx="22">
                  <c:v>111</c:v>
                </c:pt>
                <c:pt idx="23">
                  <c:v>121</c:v>
                </c:pt>
                <c:pt idx="24">
                  <c:v>135</c:v>
                </c:pt>
                <c:pt idx="25">
                  <c:v>139</c:v>
                </c:pt>
                <c:pt idx="26">
                  <c:v>148</c:v>
                </c:pt>
                <c:pt idx="27">
                  <c:v>150</c:v>
                </c:pt>
                <c:pt idx="28">
                  <c:v>169</c:v>
                </c:pt>
                <c:pt idx="29">
                  <c:v>175</c:v>
                </c:pt>
                <c:pt idx="30">
                  <c:v>181</c:v>
                </c:pt>
                <c:pt idx="31">
                  <c:v>191</c:v>
                </c:pt>
                <c:pt idx="32">
                  <c:v>194</c:v>
                </c:pt>
                <c:pt idx="33">
                  <c:v>197</c:v>
                </c:pt>
                <c:pt idx="34">
                  <c:v>215</c:v>
                </c:pt>
                <c:pt idx="35">
                  <c:v>246</c:v>
                </c:pt>
                <c:pt idx="36">
                  <c:v>251</c:v>
                </c:pt>
                <c:pt idx="37">
                  <c:v>260</c:v>
                </c:pt>
                <c:pt idx="38">
                  <c:v>277</c:v>
                </c:pt>
                <c:pt idx="39">
                  <c:v>294</c:v>
                </c:pt>
                <c:pt idx="40">
                  <c:v>295</c:v>
                </c:pt>
                <c:pt idx="41">
                  <c:v>299</c:v>
                </c:pt>
                <c:pt idx="42">
                  <c:v>321</c:v>
                </c:pt>
                <c:pt idx="43">
                  <c:v>327</c:v>
                </c:pt>
                <c:pt idx="44">
                  <c:v>347</c:v>
                </c:pt>
                <c:pt idx="45">
                  <c:v>375</c:v>
                </c:pt>
                <c:pt idx="46">
                  <c:v>397</c:v>
                </c:pt>
                <c:pt idx="47">
                  <c:v>402</c:v>
                </c:pt>
                <c:pt idx="48">
                  <c:v>425</c:v>
                </c:pt>
                <c:pt idx="49">
                  <c:v>436</c:v>
                </c:pt>
                <c:pt idx="50">
                  <c:v>448</c:v>
                </c:pt>
                <c:pt idx="51">
                  <c:v>450</c:v>
                </c:pt>
                <c:pt idx="52">
                  <c:v>461</c:v>
                </c:pt>
                <c:pt idx="53">
                  <c:v>466</c:v>
                </c:pt>
                <c:pt idx="54">
                  <c:v>514</c:v>
                </c:pt>
                <c:pt idx="55">
                  <c:v>532</c:v>
                </c:pt>
                <c:pt idx="56">
                  <c:v>539</c:v>
                </c:pt>
                <c:pt idx="57">
                  <c:v>543</c:v>
                </c:pt>
                <c:pt idx="58">
                  <c:v>573</c:v>
                </c:pt>
                <c:pt idx="59">
                  <c:v>585</c:v>
                </c:pt>
                <c:pt idx="60">
                  <c:v>653</c:v>
                </c:pt>
                <c:pt idx="61">
                  <c:v>717</c:v>
                </c:pt>
                <c:pt idx="62">
                  <c:v>720</c:v>
                </c:pt>
                <c:pt idx="63">
                  <c:v>733</c:v>
                </c:pt>
                <c:pt idx="64">
                  <c:v>742</c:v>
                </c:pt>
                <c:pt idx="65">
                  <c:v>805</c:v>
                </c:pt>
                <c:pt idx="66">
                  <c:v>830</c:v>
                </c:pt>
                <c:pt idx="67">
                  <c:v>834</c:v>
                </c:pt>
                <c:pt idx="68">
                  <c:v>840</c:v>
                </c:pt>
                <c:pt idx="69">
                  <c:v>1087</c:v>
                </c:pt>
                <c:pt idx="70" formatCode="General">
                  <c:v>1100</c:v>
                </c:pt>
              </c:numCache>
            </c:numRef>
          </c:xVal>
          <c:yVal>
            <c:numRef>
              <c:f>'Angio Funnel'!$E$2:$E$72</c:f>
              <c:numCache>
                <c:formatCode>0.0%</c:formatCode>
                <c:ptCount val="71"/>
                <c:pt idx="0">
                  <c:v>1.9E-2</c:v>
                </c:pt>
                <c:pt idx="1">
                  <c:v>1.9E-2</c:v>
                </c:pt>
                <c:pt idx="2">
                  <c:v>1.9E-2</c:v>
                </c:pt>
                <c:pt idx="3">
                  <c:v>1.9E-2</c:v>
                </c:pt>
                <c:pt idx="4">
                  <c:v>1.9E-2</c:v>
                </c:pt>
                <c:pt idx="5">
                  <c:v>1.9E-2</c:v>
                </c:pt>
                <c:pt idx="6">
                  <c:v>1.9E-2</c:v>
                </c:pt>
                <c:pt idx="7">
                  <c:v>1.9E-2</c:v>
                </c:pt>
                <c:pt idx="8">
                  <c:v>1.9E-2</c:v>
                </c:pt>
                <c:pt idx="9">
                  <c:v>1.9E-2</c:v>
                </c:pt>
                <c:pt idx="10">
                  <c:v>1.9E-2</c:v>
                </c:pt>
                <c:pt idx="11">
                  <c:v>1.9E-2</c:v>
                </c:pt>
                <c:pt idx="12">
                  <c:v>1.9E-2</c:v>
                </c:pt>
                <c:pt idx="13">
                  <c:v>1.9E-2</c:v>
                </c:pt>
                <c:pt idx="14">
                  <c:v>1.9E-2</c:v>
                </c:pt>
                <c:pt idx="15">
                  <c:v>1.9E-2</c:v>
                </c:pt>
                <c:pt idx="16">
                  <c:v>1.9E-2</c:v>
                </c:pt>
                <c:pt idx="17">
                  <c:v>1.9E-2</c:v>
                </c:pt>
                <c:pt idx="18">
                  <c:v>1.9E-2</c:v>
                </c:pt>
                <c:pt idx="19">
                  <c:v>1.9E-2</c:v>
                </c:pt>
                <c:pt idx="20">
                  <c:v>1.9E-2</c:v>
                </c:pt>
                <c:pt idx="21">
                  <c:v>1.9E-2</c:v>
                </c:pt>
                <c:pt idx="22">
                  <c:v>1.9E-2</c:v>
                </c:pt>
                <c:pt idx="23">
                  <c:v>1.9E-2</c:v>
                </c:pt>
                <c:pt idx="24">
                  <c:v>1.9E-2</c:v>
                </c:pt>
                <c:pt idx="25">
                  <c:v>1.9E-2</c:v>
                </c:pt>
                <c:pt idx="26">
                  <c:v>1.9E-2</c:v>
                </c:pt>
                <c:pt idx="27">
                  <c:v>1.9E-2</c:v>
                </c:pt>
                <c:pt idx="28">
                  <c:v>1.9E-2</c:v>
                </c:pt>
                <c:pt idx="29">
                  <c:v>1.9E-2</c:v>
                </c:pt>
                <c:pt idx="30">
                  <c:v>1.9E-2</c:v>
                </c:pt>
                <c:pt idx="31">
                  <c:v>1.9E-2</c:v>
                </c:pt>
                <c:pt idx="32">
                  <c:v>1.9E-2</c:v>
                </c:pt>
                <c:pt idx="33">
                  <c:v>1.9E-2</c:v>
                </c:pt>
                <c:pt idx="34">
                  <c:v>1.9E-2</c:v>
                </c:pt>
                <c:pt idx="35">
                  <c:v>1.9E-2</c:v>
                </c:pt>
                <c:pt idx="36">
                  <c:v>1.9E-2</c:v>
                </c:pt>
                <c:pt idx="37">
                  <c:v>1.9E-2</c:v>
                </c:pt>
                <c:pt idx="38">
                  <c:v>1.9E-2</c:v>
                </c:pt>
                <c:pt idx="39">
                  <c:v>1.9E-2</c:v>
                </c:pt>
                <c:pt idx="40">
                  <c:v>1.9E-2</c:v>
                </c:pt>
                <c:pt idx="41">
                  <c:v>1.9E-2</c:v>
                </c:pt>
                <c:pt idx="42">
                  <c:v>1.9E-2</c:v>
                </c:pt>
                <c:pt idx="43">
                  <c:v>1.9E-2</c:v>
                </c:pt>
                <c:pt idx="44">
                  <c:v>1.9E-2</c:v>
                </c:pt>
                <c:pt idx="45">
                  <c:v>1.9E-2</c:v>
                </c:pt>
                <c:pt idx="46">
                  <c:v>1.9E-2</c:v>
                </c:pt>
                <c:pt idx="47">
                  <c:v>1.9E-2</c:v>
                </c:pt>
                <c:pt idx="48">
                  <c:v>1.9E-2</c:v>
                </c:pt>
                <c:pt idx="49">
                  <c:v>1.9E-2</c:v>
                </c:pt>
                <c:pt idx="50">
                  <c:v>1.9E-2</c:v>
                </c:pt>
                <c:pt idx="51">
                  <c:v>1.9E-2</c:v>
                </c:pt>
                <c:pt idx="52">
                  <c:v>1.9E-2</c:v>
                </c:pt>
                <c:pt idx="53">
                  <c:v>1.9E-2</c:v>
                </c:pt>
                <c:pt idx="54">
                  <c:v>1.9E-2</c:v>
                </c:pt>
                <c:pt idx="55">
                  <c:v>1.9E-2</c:v>
                </c:pt>
                <c:pt idx="56">
                  <c:v>1.9E-2</c:v>
                </c:pt>
                <c:pt idx="57">
                  <c:v>1.9E-2</c:v>
                </c:pt>
                <c:pt idx="58">
                  <c:v>1.9E-2</c:v>
                </c:pt>
                <c:pt idx="59">
                  <c:v>1.9E-2</c:v>
                </c:pt>
                <c:pt idx="60">
                  <c:v>1.9E-2</c:v>
                </c:pt>
                <c:pt idx="61">
                  <c:v>1.9E-2</c:v>
                </c:pt>
                <c:pt idx="62">
                  <c:v>1.9E-2</c:v>
                </c:pt>
                <c:pt idx="63">
                  <c:v>1.9E-2</c:v>
                </c:pt>
                <c:pt idx="64">
                  <c:v>1.9E-2</c:v>
                </c:pt>
                <c:pt idx="65">
                  <c:v>1.9E-2</c:v>
                </c:pt>
                <c:pt idx="66">
                  <c:v>1.9E-2</c:v>
                </c:pt>
                <c:pt idx="67">
                  <c:v>1.9E-2</c:v>
                </c:pt>
                <c:pt idx="68">
                  <c:v>1.9E-2</c:v>
                </c:pt>
                <c:pt idx="69">
                  <c:v>1.9E-2</c:v>
                </c:pt>
                <c:pt idx="70">
                  <c:v>1.9E-2</c:v>
                </c:pt>
              </c:numCache>
            </c:numRef>
          </c:yVal>
          <c:smooth val="0"/>
          <c:extLst>
            <c:ext xmlns:c16="http://schemas.microsoft.com/office/drawing/2014/chart" uri="{C3380CC4-5D6E-409C-BE32-E72D297353CC}">
              <c16:uniqueId val="{00000001-41E3-401B-82A3-4464EDE6AA65}"/>
            </c:ext>
          </c:extLst>
        </c:ser>
        <c:ser>
          <c:idx val="2"/>
          <c:order val="2"/>
          <c:tx>
            <c:v>Upper 99.8 Funnel Limits</c:v>
          </c:tx>
          <c:spPr>
            <a:ln w="19050" cap="rnd">
              <a:solidFill>
                <a:srgbClr val="0070C0"/>
              </a:solidFill>
              <a:prstDash val="sysDash"/>
              <a:round/>
            </a:ln>
            <a:effectLst/>
          </c:spPr>
          <c:marker>
            <c:symbol val="circle"/>
            <c:size val="5"/>
            <c:spPr>
              <a:noFill/>
              <a:ln w="9525">
                <a:noFill/>
              </a:ln>
              <a:effectLst/>
            </c:spPr>
          </c:marker>
          <c:xVal>
            <c:numRef>
              <c:f>'Angio Funnel'!$B$2:$B$72</c:f>
              <c:numCache>
                <c:formatCode>#,##0</c:formatCode>
                <c:ptCount val="71"/>
                <c:pt idx="0" formatCode="General">
                  <c:v>0</c:v>
                </c:pt>
                <c:pt idx="1">
                  <c:v>7</c:v>
                </c:pt>
                <c:pt idx="2">
                  <c:v>8</c:v>
                </c:pt>
                <c:pt idx="3">
                  <c:v>10</c:v>
                </c:pt>
                <c:pt idx="4">
                  <c:v>14</c:v>
                </c:pt>
                <c:pt idx="5">
                  <c:v>23</c:v>
                </c:pt>
                <c:pt idx="6">
                  <c:v>25</c:v>
                </c:pt>
                <c:pt idx="7">
                  <c:v>26</c:v>
                </c:pt>
                <c:pt idx="8">
                  <c:v>31</c:v>
                </c:pt>
                <c:pt idx="9">
                  <c:v>32</c:v>
                </c:pt>
                <c:pt idx="10">
                  <c:v>34</c:v>
                </c:pt>
                <c:pt idx="11">
                  <c:v>40</c:v>
                </c:pt>
                <c:pt idx="12">
                  <c:v>45</c:v>
                </c:pt>
                <c:pt idx="13">
                  <c:v>48</c:v>
                </c:pt>
                <c:pt idx="14">
                  <c:v>51</c:v>
                </c:pt>
                <c:pt idx="15">
                  <c:v>61</c:v>
                </c:pt>
                <c:pt idx="16">
                  <c:v>82</c:v>
                </c:pt>
                <c:pt idx="17">
                  <c:v>83</c:v>
                </c:pt>
                <c:pt idx="18">
                  <c:v>92</c:v>
                </c:pt>
                <c:pt idx="19">
                  <c:v>94</c:v>
                </c:pt>
                <c:pt idx="20">
                  <c:v>107</c:v>
                </c:pt>
                <c:pt idx="21">
                  <c:v>109</c:v>
                </c:pt>
                <c:pt idx="22">
                  <c:v>111</c:v>
                </c:pt>
                <c:pt idx="23">
                  <c:v>121</c:v>
                </c:pt>
                <c:pt idx="24">
                  <c:v>135</c:v>
                </c:pt>
                <c:pt idx="25">
                  <c:v>139</c:v>
                </c:pt>
                <c:pt idx="26">
                  <c:v>148</c:v>
                </c:pt>
                <c:pt idx="27">
                  <c:v>150</c:v>
                </c:pt>
                <c:pt idx="28">
                  <c:v>169</c:v>
                </c:pt>
                <c:pt idx="29">
                  <c:v>175</c:v>
                </c:pt>
                <c:pt idx="30">
                  <c:v>181</c:v>
                </c:pt>
                <c:pt idx="31">
                  <c:v>191</c:v>
                </c:pt>
                <c:pt idx="32">
                  <c:v>194</c:v>
                </c:pt>
                <c:pt idx="33">
                  <c:v>197</c:v>
                </c:pt>
                <c:pt idx="34">
                  <c:v>215</c:v>
                </c:pt>
                <c:pt idx="35">
                  <c:v>246</c:v>
                </c:pt>
                <c:pt idx="36">
                  <c:v>251</c:v>
                </c:pt>
                <c:pt idx="37">
                  <c:v>260</c:v>
                </c:pt>
                <c:pt idx="38">
                  <c:v>277</c:v>
                </c:pt>
                <c:pt idx="39">
                  <c:v>294</c:v>
                </c:pt>
                <c:pt idx="40">
                  <c:v>295</c:v>
                </c:pt>
                <c:pt idx="41">
                  <c:v>299</c:v>
                </c:pt>
                <c:pt idx="42">
                  <c:v>321</c:v>
                </c:pt>
                <c:pt idx="43">
                  <c:v>327</c:v>
                </c:pt>
                <c:pt idx="44">
                  <c:v>347</c:v>
                </c:pt>
                <c:pt idx="45">
                  <c:v>375</c:v>
                </c:pt>
                <c:pt idx="46">
                  <c:v>397</c:v>
                </c:pt>
                <c:pt idx="47">
                  <c:v>402</c:v>
                </c:pt>
                <c:pt idx="48">
                  <c:v>425</c:v>
                </c:pt>
                <c:pt idx="49">
                  <c:v>436</c:v>
                </c:pt>
                <c:pt idx="50">
                  <c:v>448</c:v>
                </c:pt>
                <c:pt idx="51">
                  <c:v>450</c:v>
                </c:pt>
                <c:pt idx="52">
                  <c:v>461</c:v>
                </c:pt>
                <c:pt idx="53">
                  <c:v>466</c:v>
                </c:pt>
                <c:pt idx="54">
                  <c:v>514</c:v>
                </c:pt>
                <c:pt idx="55">
                  <c:v>532</c:v>
                </c:pt>
                <c:pt idx="56">
                  <c:v>539</c:v>
                </c:pt>
                <c:pt idx="57">
                  <c:v>543</c:v>
                </c:pt>
                <c:pt idx="58">
                  <c:v>573</c:v>
                </c:pt>
                <c:pt idx="59">
                  <c:v>585</c:v>
                </c:pt>
                <c:pt idx="60">
                  <c:v>653</c:v>
                </c:pt>
                <c:pt idx="61">
                  <c:v>717</c:v>
                </c:pt>
                <c:pt idx="62">
                  <c:v>720</c:v>
                </c:pt>
                <c:pt idx="63">
                  <c:v>733</c:v>
                </c:pt>
                <c:pt idx="64">
                  <c:v>742</c:v>
                </c:pt>
                <c:pt idx="65">
                  <c:v>805</c:v>
                </c:pt>
                <c:pt idx="66">
                  <c:v>830</c:v>
                </c:pt>
                <c:pt idx="67">
                  <c:v>834</c:v>
                </c:pt>
                <c:pt idx="68">
                  <c:v>840</c:v>
                </c:pt>
                <c:pt idx="69">
                  <c:v>1087</c:v>
                </c:pt>
                <c:pt idx="70" formatCode="General">
                  <c:v>1100</c:v>
                </c:pt>
              </c:numCache>
            </c:numRef>
          </c:xVal>
          <c:yVal>
            <c:numRef>
              <c:f>'Angio Funnel'!$C$2:$C$72</c:f>
              <c:numCache>
                <c:formatCode>0.00%</c:formatCode>
                <c:ptCount val="71"/>
                <c:pt idx="0">
                  <c:v>0.5</c:v>
                </c:pt>
                <c:pt idx="1">
                  <c:v>0.4122559130191803</c:v>
                </c:pt>
                <c:pt idx="2">
                  <c:v>0.36589118838310242</c:v>
                </c:pt>
                <c:pt idx="3">
                  <c:v>0.29804989695549011</c:v>
                </c:pt>
                <c:pt idx="4">
                  <c:v>0.25369837880134583</c:v>
                </c:pt>
                <c:pt idx="5">
                  <c:v>0.173082634806633</c:v>
                </c:pt>
                <c:pt idx="6">
                  <c:v>0.16633450984954834</c:v>
                </c:pt>
                <c:pt idx="7">
                  <c:v>0.16501632332801819</c:v>
                </c:pt>
                <c:pt idx="8">
                  <c:v>0.1514502614736557</c:v>
                </c:pt>
                <c:pt idx="9">
                  <c:v>0.1482747346162796</c:v>
                </c:pt>
                <c:pt idx="10">
                  <c:v>0.14195920526981354</c:v>
                </c:pt>
                <c:pt idx="11">
                  <c:v>0.12461864948272705</c:v>
                </c:pt>
                <c:pt idx="12">
                  <c:v>0.12027820944786072</c:v>
                </c:pt>
                <c:pt idx="13">
                  <c:v>0.11673671007156372</c:v>
                </c:pt>
                <c:pt idx="14">
                  <c:v>0.11258272081613541</c:v>
                </c:pt>
                <c:pt idx="15">
                  <c:v>9.9011130630970001E-2</c:v>
                </c:pt>
                <c:pt idx="16">
                  <c:v>8.5186809301376343E-2</c:v>
                </c:pt>
                <c:pt idx="17">
                  <c:v>8.4563404321670532E-2</c:v>
                </c:pt>
                <c:pt idx="18">
                  <c:v>8.2325167953968048E-2</c:v>
                </c:pt>
                <c:pt idx="19">
                  <c:v>8.1444233655929565E-2</c:v>
                </c:pt>
                <c:pt idx="20">
                  <c:v>7.4827633798122406E-2</c:v>
                </c:pt>
                <c:pt idx="21">
                  <c:v>7.4763275682926178E-2</c:v>
                </c:pt>
                <c:pt idx="22">
                  <c:v>7.4542529881000519E-2</c:v>
                </c:pt>
                <c:pt idx="23">
                  <c:v>7.2009652853012085E-2</c:v>
                </c:pt>
                <c:pt idx="24">
                  <c:v>6.7781239748001099E-2</c:v>
                </c:pt>
                <c:pt idx="25">
                  <c:v>6.7393407225608826E-2</c:v>
                </c:pt>
                <c:pt idx="26">
                  <c:v>6.5654560923576355E-2</c:v>
                </c:pt>
                <c:pt idx="27">
                  <c:v>6.5170913934707642E-2</c:v>
                </c:pt>
                <c:pt idx="28">
                  <c:v>6.1946101486682892E-2</c:v>
                </c:pt>
                <c:pt idx="29">
                  <c:v>6.1042740941047668E-2</c:v>
                </c:pt>
                <c:pt idx="30">
                  <c:v>5.9930436313152313E-2</c:v>
                </c:pt>
                <c:pt idx="31">
                  <c:v>5.8413125574588776E-2</c:v>
                </c:pt>
                <c:pt idx="32">
                  <c:v>5.8266829699277878E-2</c:v>
                </c:pt>
                <c:pt idx="33">
                  <c:v>5.8033205568790436E-2</c:v>
                </c:pt>
                <c:pt idx="34">
                  <c:v>5.5580180138349533E-2</c:v>
                </c:pt>
                <c:pt idx="35">
                  <c:v>5.2695900201797485E-2</c:v>
                </c:pt>
                <c:pt idx="36">
                  <c:v>5.2408594638109207E-2</c:v>
                </c:pt>
                <c:pt idx="37">
                  <c:v>5.1988117396831512E-2</c:v>
                </c:pt>
                <c:pt idx="38">
                  <c:v>5.0397619605064392E-2</c:v>
                </c:pt>
                <c:pt idx="39">
                  <c:v>4.9635432660579681E-2</c:v>
                </c:pt>
                <c:pt idx="40">
                  <c:v>4.9569521099328995E-2</c:v>
                </c:pt>
                <c:pt idx="41">
                  <c:v>4.9280140548944473E-2</c:v>
                </c:pt>
                <c:pt idx="42">
                  <c:v>4.8029880970716476E-2</c:v>
                </c:pt>
                <c:pt idx="43">
                  <c:v>4.7740772366523743E-2</c:v>
                </c:pt>
                <c:pt idx="44">
                  <c:v>4.6554230153560638E-2</c:v>
                </c:pt>
                <c:pt idx="45">
                  <c:v>4.5245308429002762E-2</c:v>
                </c:pt>
                <c:pt idx="46">
                  <c:v>4.4591531157493591E-2</c:v>
                </c:pt>
                <c:pt idx="47">
                  <c:v>4.4340182095766068E-2</c:v>
                </c:pt>
                <c:pt idx="48">
                  <c:v>4.360339418053627E-2</c:v>
                </c:pt>
                <c:pt idx="49">
                  <c:v>4.3164093047380447E-2</c:v>
                </c:pt>
                <c:pt idx="50">
                  <c:v>4.2712096124887466E-2</c:v>
                </c:pt>
                <c:pt idx="51">
                  <c:v>4.2693756520748138E-2</c:v>
                </c:pt>
                <c:pt idx="52">
                  <c:v>4.2457059025764465E-2</c:v>
                </c:pt>
                <c:pt idx="53">
                  <c:v>4.2289461940526962E-2</c:v>
                </c:pt>
                <c:pt idx="54">
                  <c:v>4.0832199156284332E-2</c:v>
                </c:pt>
                <c:pt idx="55">
                  <c:v>4.0574803948402405E-2</c:v>
                </c:pt>
                <c:pt idx="56">
                  <c:v>4.037829115986824E-2</c:v>
                </c:pt>
                <c:pt idx="57">
                  <c:v>4.0247261524200439E-2</c:v>
                </c:pt>
                <c:pt idx="58">
                  <c:v>3.9646904915571213E-2</c:v>
                </c:pt>
                <c:pt idx="59">
                  <c:v>3.927694633603096E-2</c:v>
                </c:pt>
                <c:pt idx="60">
                  <c:v>3.8096088916063309E-2</c:v>
                </c:pt>
                <c:pt idx="61">
                  <c:v>3.7157215178012848E-2</c:v>
                </c:pt>
                <c:pt idx="62">
                  <c:v>3.7104163318872452E-2</c:v>
                </c:pt>
                <c:pt idx="63">
                  <c:v>3.6822061985731125E-2</c:v>
                </c:pt>
                <c:pt idx="64">
                  <c:v>3.677985817193985E-2</c:v>
                </c:pt>
                <c:pt idx="65">
                  <c:v>3.593067079782486E-2</c:v>
                </c:pt>
                <c:pt idx="66">
                  <c:v>3.5702202469110489E-2</c:v>
                </c:pt>
                <c:pt idx="67">
                  <c:v>3.5645857453346252E-2</c:v>
                </c:pt>
                <c:pt idx="68">
                  <c:v>3.554864227771759E-2</c:v>
                </c:pt>
                <c:pt idx="69">
                  <c:v>3.3313728868961334E-2</c:v>
                </c:pt>
                <c:pt idx="70">
                  <c:v>3.3244442194700241E-2</c:v>
                </c:pt>
              </c:numCache>
            </c:numRef>
          </c:yVal>
          <c:smooth val="0"/>
          <c:extLst>
            <c:ext xmlns:c16="http://schemas.microsoft.com/office/drawing/2014/chart" uri="{C3380CC4-5D6E-409C-BE32-E72D297353CC}">
              <c16:uniqueId val="{00000002-41E3-401B-82A3-4464EDE6AA65}"/>
            </c:ext>
          </c:extLst>
        </c:ser>
        <c:ser>
          <c:idx val="3"/>
          <c:order val="3"/>
          <c:tx>
            <c:strRef>
              <c:f>'Angioplasty Summary'!$B$1</c:f>
              <c:strCache>
                <c:ptCount val="1"/>
                <c:pt idx="0">
                  <c:v>Aneurin Bevan University Health Board</c:v>
                </c:pt>
              </c:strCache>
            </c:strRef>
          </c:tx>
          <c:spPr>
            <a:ln w="25400" cap="rnd">
              <a:noFill/>
              <a:round/>
            </a:ln>
            <a:effectLst/>
          </c:spPr>
          <c:marker>
            <c:symbol val="circle"/>
            <c:size val="5"/>
            <c:spPr>
              <a:solidFill>
                <a:srgbClr val="FF0000"/>
              </a:solidFill>
              <a:ln w="12700">
                <a:solidFill>
                  <a:srgbClr val="FF0000"/>
                </a:solidFill>
              </a:ln>
              <a:effectLst/>
            </c:spPr>
          </c:marker>
          <c:xVal>
            <c:numRef>
              <c:f>'Angioplasty Summary'!$E$30</c:f>
              <c:numCache>
                <c:formatCode>General</c:formatCode>
                <c:ptCount val="1"/>
                <c:pt idx="0">
                  <c:v>111</c:v>
                </c:pt>
              </c:numCache>
            </c:numRef>
          </c:xVal>
          <c:yVal>
            <c:numRef>
              <c:f>'Angioplasty Summary'!$H$30</c:f>
              <c:numCache>
                <c:formatCode>0.0%</c:formatCode>
                <c:ptCount val="1"/>
                <c:pt idx="0">
                  <c:v>1.0208217427134514E-2</c:v>
                </c:pt>
              </c:numCache>
            </c:numRef>
          </c:yVal>
          <c:smooth val="0"/>
          <c:extLst>
            <c:ext xmlns:c16="http://schemas.microsoft.com/office/drawing/2014/chart" uri="{C3380CC4-5D6E-409C-BE32-E72D297353CC}">
              <c16:uniqueId val="{00000003-41E3-401B-82A3-4464EDE6AA65}"/>
            </c:ext>
          </c:extLst>
        </c:ser>
        <c:ser>
          <c:idx val="4"/>
          <c:order val="4"/>
          <c:tx>
            <c:v>Lower 99.8 Funnel Limits</c:v>
          </c:tx>
          <c:spPr>
            <a:ln w="19050" cap="rnd">
              <a:solidFill>
                <a:schemeClr val="accent1"/>
              </a:solidFill>
              <a:prstDash val="sysDash"/>
              <a:round/>
            </a:ln>
            <a:effectLst/>
          </c:spPr>
          <c:marker>
            <c:symbol val="circle"/>
            <c:size val="5"/>
            <c:spPr>
              <a:noFill/>
              <a:ln w="9525">
                <a:noFill/>
              </a:ln>
              <a:effectLst/>
            </c:spPr>
          </c:marker>
          <c:xVal>
            <c:numRef>
              <c:f>'Angio Funnel'!$B$2:$B$72</c:f>
              <c:numCache>
                <c:formatCode>#,##0</c:formatCode>
                <c:ptCount val="71"/>
                <c:pt idx="0" formatCode="General">
                  <c:v>0</c:v>
                </c:pt>
                <c:pt idx="1">
                  <c:v>7</c:v>
                </c:pt>
                <c:pt idx="2">
                  <c:v>8</c:v>
                </c:pt>
                <c:pt idx="3">
                  <c:v>10</c:v>
                </c:pt>
                <c:pt idx="4">
                  <c:v>14</c:v>
                </c:pt>
                <c:pt idx="5">
                  <c:v>23</c:v>
                </c:pt>
                <c:pt idx="6">
                  <c:v>25</c:v>
                </c:pt>
                <c:pt idx="7">
                  <c:v>26</c:v>
                </c:pt>
                <c:pt idx="8">
                  <c:v>31</c:v>
                </c:pt>
                <c:pt idx="9">
                  <c:v>32</c:v>
                </c:pt>
                <c:pt idx="10">
                  <c:v>34</c:v>
                </c:pt>
                <c:pt idx="11">
                  <c:v>40</c:v>
                </c:pt>
                <c:pt idx="12">
                  <c:v>45</c:v>
                </c:pt>
                <c:pt idx="13">
                  <c:v>48</c:v>
                </c:pt>
                <c:pt idx="14">
                  <c:v>51</c:v>
                </c:pt>
                <c:pt idx="15">
                  <c:v>61</c:v>
                </c:pt>
                <c:pt idx="16">
                  <c:v>82</c:v>
                </c:pt>
                <c:pt idx="17">
                  <c:v>83</c:v>
                </c:pt>
                <c:pt idx="18">
                  <c:v>92</c:v>
                </c:pt>
                <c:pt idx="19">
                  <c:v>94</c:v>
                </c:pt>
                <c:pt idx="20">
                  <c:v>107</c:v>
                </c:pt>
                <c:pt idx="21">
                  <c:v>109</c:v>
                </c:pt>
                <c:pt idx="22">
                  <c:v>111</c:v>
                </c:pt>
                <c:pt idx="23">
                  <c:v>121</c:v>
                </c:pt>
                <c:pt idx="24">
                  <c:v>135</c:v>
                </c:pt>
                <c:pt idx="25">
                  <c:v>139</c:v>
                </c:pt>
                <c:pt idx="26">
                  <c:v>148</c:v>
                </c:pt>
                <c:pt idx="27">
                  <c:v>150</c:v>
                </c:pt>
                <c:pt idx="28">
                  <c:v>169</c:v>
                </c:pt>
                <c:pt idx="29">
                  <c:v>175</c:v>
                </c:pt>
                <c:pt idx="30">
                  <c:v>181</c:v>
                </c:pt>
                <c:pt idx="31">
                  <c:v>191</c:v>
                </c:pt>
                <c:pt idx="32">
                  <c:v>194</c:v>
                </c:pt>
                <c:pt idx="33">
                  <c:v>197</c:v>
                </c:pt>
                <c:pt idx="34">
                  <c:v>215</c:v>
                </c:pt>
                <c:pt idx="35">
                  <c:v>246</c:v>
                </c:pt>
                <c:pt idx="36">
                  <c:v>251</c:v>
                </c:pt>
                <c:pt idx="37">
                  <c:v>260</c:v>
                </c:pt>
                <c:pt idx="38">
                  <c:v>277</c:v>
                </c:pt>
                <c:pt idx="39">
                  <c:v>294</c:v>
                </c:pt>
                <c:pt idx="40">
                  <c:v>295</c:v>
                </c:pt>
                <c:pt idx="41">
                  <c:v>299</c:v>
                </c:pt>
                <c:pt idx="42">
                  <c:v>321</c:v>
                </c:pt>
                <c:pt idx="43">
                  <c:v>327</c:v>
                </c:pt>
                <c:pt idx="44">
                  <c:v>347</c:v>
                </c:pt>
                <c:pt idx="45">
                  <c:v>375</c:v>
                </c:pt>
                <c:pt idx="46">
                  <c:v>397</c:v>
                </c:pt>
                <c:pt idx="47">
                  <c:v>402</c:v>
                </c:pt>
                <c:pt idx="48">
                  <c:v>425</c:v>
                </c:pt>
                <c:pt idx="49">
                  <c:v>436</c:v>
                </c:pt>
                <c:pt idx="50">
                  <c:v>448</c:v>
                </c:pt>
                <c:pt idx="51">
                  <c:v>450</c:v>
                </c:pt>
                <c:pt idx="52">
                  <c:v>461</c:v>
                </c:pt>
                <c:pt idx="53">
                  <c:v>466</c:v>
                </c:pt>
                <c:pt idx="54">
                  <c:v>514</c:v>
                </c:pt>
                <c:pt idx="55">
                  <c:v>532</c:v>
                </c:pt>
                <c:pt idx="56">
                  <c:v>539</c:v>
                </c:pt>
                <c:pt idx="57">
                  <c:v>543</c:v>
                </c:pt>
                <c:pt idx="58">
                  <c:v>573</c:v>
                </c:pt>
                <c:pt idx="59">
                  <c:v>585</c:v>
                </c:pt>
                <c:pt idx="60">
                  <c:v>653</c:v>
                </c:pt>
                <c:pt idx="61">
                  <c:v>717</c:v>
                </c:pt>
                <c:pt idx="62">
                  <c:v>720</c:v>
                </c:pt>
                <c:pt idx="63">
                  <c:v>733</c:v>
                </c:pt>
                <c:pt idx="64">
                  <c:v>742</c:v>
                </c:pt>
                <c:pt idx="65">
                  <c:v>805</c:v>
                </c:pt>
                <c:pt idx="66">
                  <c:v>830</c:v>
                </c:pt>
                <c:pt idx="67">
                  <c:v>834</c:v>
                </c:pt>
                <c:pt idx="68">
                  <c:v>840</c:v>
                </c:pt>
                <c:pt idx="69">
                  <c:v>1087</c:v>
                </c:pt>
                <c:pt idx="70" formatCode="General">
                  <c:v>1100</c:v>
                </c:pt>
              </c:numCache>
            </c:numRef>
          </c:xVal>
          <c:yVal>
            <c:numRef>
              <c:f>'Angio Funnel'!$D$2:$D$72</c:f>
              <c:numCache>
                <c:formatCode>0.0%</c:formatCode>
                <c:ptCount val="71"/>
                <c:pt idx="45" formatCode="0.00%">
                  <c:v>1.0066239337902516E-4</c:v>
                </c:pt>
                <c:pt idx="46" formatCode="0.00%">
                  <c:v>3.0837988015264273E-4</c:v>
                </c:pt>
                <c:pt idx="47" formatCode="0.00%">
                  <c:v>3.6298797931522131E-4</c:v>
                </c:pt>
                <c:pt idx="48" formatCode="0.00%">
                  <c:v>6.6178408451378345E-4</c:v>
                </c:pt>
                <c:pt idx="49" formatCode="0.00%">
                  <c:v>8.3928368985652924E-4</c:v>
                </c:pt>
                <c:pt idx="50" formatCode="0.00%">
                  <c:v>1.0657926322892308E-3</c:v>
                </c:pt>
                <c:pt idx="51" formatCode="0.00%">
                  <c:v>1.1073637288063765E-3</c:v>
                </c:pt>
                <c:pt idx="52" formatCode="0.00%">
                  <c:v>1.3583553954958916E-3</c:v>
                </c:pt>
                <c:pt idx="53" formatCode="0.00%">
                  <c:v>1.4862356474623084E-3</c:v>
                </c:pt>
                <c:pt idx="54" formatCode="0.00%">
                  <c:v>2.2289277985692024E-3</c:v>
                </c:pt>
                <c:pt idx="55" formatCode="0.00%">
                  <c:v>2.387660089880228E-3</c:v>
                </c:pt>
                <c:pt idx="56" formatCode="0.00%">
                  <c:v>2.4641959462314844E-3</c:v>
                </c:pt>
                <c:pt idx="57" formatCode="0.00%">
                  <c:v>2.5121986400336027E-3</c:v>
                </c:pt>
                <c:pt idx="58" formatCode="0.00%">
                  <c:v>2.9935380443930626E-3</c:v>
                </c:pt>
                <c:pt idx="59" formatCode="0.00%">
                  <c:v>3.2612418290227652E-3</c:v>
                </c:pt>
                <c:pt idx="60" formatCode="0.00%">
                  <c:v>3.8179133553057909E-3</c:v>
                </c:pt>
                <c:pt idx="61" formatCode="0.00%">
                  <c:v>4.4792867265641689E-3</c:v>
                </c:pt>
                <c:pt idx="62" formatCode="0.00%">
                  <c:v>4.4962554238736629E-3</c:v>
                </c:pt>
                <c:pt idx="63" formatCode="0.00%">
                  <c:v>4.5848707668483257E-3</c:v>
                </c:pt>
                <c:pt idx="64" formatCode="0.00%">
                  <c:v>4.6621775254607201E-3</c:v>
                </c:pt>
                <c:pt idx="65" formatCode="0.00%">
                  <c:v>5.2197081968188286E-3</c:v>
                </c:pt>
                <c:pt idx="66" formatCode="0.00%">
                  <c:v>5.3715440444648266E-3</c:v>
                </c:pt>
                <c:pt idx="67" formatCode="0.00%">
                  <c:v>5.4045864380896091E-3</c:v>
                </c:pt>
                <c:pt idx="68" formatCode="0.00%">
                  <c:v>5.4593561217188835E-3</c:v>
                </c:pt>
                <c:pt idx="69" formatCode="0.00%">
                  <c:v>6.9578755646944046E-3</c:v>
                </c:pt>
                <c:pt idx="70" formatCode="0.00%">
                  <c:v>7.0527731440961361E-3</c:v>
                </c:pt>
              </c:numCache>
            </c:numRef>
          </c:yVal>
          <c:smooth val="0"/>
          <c:extLst>
            <c:ext xmlns:c16="http://schemas.microsoft.com/office/drawing/2014/chart" uri="{C3380CC4-5D6E-409C-BE32-E72D297353CC}">
              <c16:uniqueId val="{00000000-C993-4C39-9C20-859BF100BAA7}"/>
            </c:ext>
          </c:extLst>
        </c:ser>
        <c:ser>
          <c:idx val="5"/>
          <c:order val="5"/>
          <c:tx>
            <c:v>Upper 95 Funel Limits</c:v>
          </c:tx>
          <c:spPr>
            <a:ln w="15875" cap="rnd">
              <a:solidFill>
                <a:schemeClr val="accent2">
                  <a:lumMod val="40000"/>
                  <a:lumOff val="60000"/>
                </a:schemeClr>
              </a:solidFill>
              <a:prstDash val="dash"/>
              <a:round/>
            </a:ln>
            <a:effectLst/>
          </c:spPr>
          <c:marker>
            <c:symbol val="none"/>
          </c:marker>
          <c:xVal>
            <c:numRef>
              <c:f>'Angio Funnel'!$B$2:$B$72</c:f>
              <c:numCache>
                <c:formatCode>#,##0</c:formatCode>
                <c:ptCount val="71"/>
                <c:pt idx="0" formatCode="General">
                  <c:v>0</c:v>
                </c:pt>
                <c:pt idx="1">
                  <c:v>7</c:v>
                </c:pt>
                <c:pt idx="2">
                  <c:v>8</c:v>
                </c:pt>
                <c:pt idx="3">
                  <c:v>10</c:v>
                </c:pt>
                <c:pt idx="4">
                  <c:v>14</c:v>
                </c:pt>
                <c:pt idx="5">
                  <c:v>23</c:v>
                </c:pt>
                <c:pt idx="6">
                  <c:v>25</c:v>
                </c:pt>
                <c:pt idx="7">
                  <c:v>26</c:v>
                </c:pt>
                <c:pt idx="8">
                  <c:v>31</c:v>
                </c:pt>
                <c:pt idx="9">
                  <c:v>32</c:v>
                </c:pt>
                <c:pt idx="10">
                  <c:v>34</c:v>
                </c:pt>
                <c:pt idx="11">
                  <c:v>40</c:v>
                </c:pt>
                <c:pt idx="12">
                  <c:v>45</c:v>
                </c:pt>
                <c:pt idx="13">
                  <c:v>48</c:v>
                </c:pt>
                <c:pt idx="14">
                  <c:v>51</c:v>
                </c:pt>
                <c:pt idx="15">
                  <c:v>61</c:v>
                </c:pt>
                <c:pt idx="16">
                  <c:v>82</c:v>
                </c:pt>
                <c:pt idx="17">
                  <c:v>83</c:v>
                </c:pt>
                <c:pt idx="18">
                  <c:v>92</c:v>
                </c:pt>
                <c:pt idx="19">
                  <c:v>94</c:v>
                </c:pt>
                <c:pt idx="20">
                  <c:v>107</c:v>
                </c:pt>
                <c:pt idx="21">
                  <c:v>109</c:v>
                </c:pt>
                <c:pt idx="22">
                  <c:v>111</c:v>
                </c:pt>
                <c:pt idx="23">
                  <c:v>121</c:v>
                </c:pt>
                <c:pt idx="24">
                  <c:v>135</c:v>
                </c:pt>
                <c:pt idx="25">
                  <c:v>139</c:v>
                </c:pt>
                <c:pt idx="26">
                  <c:v>148</c:v>
                </c:pt>
                <c:pt idx="27">
                  <c:v>150</c:v>
                </c:pt>
                <c:pt idx="28">
                  <c:v>169</c:v>
                </c:pt>
                <c:pt idx="29">
                  <c:v>175</c:v>
                </c:pt>
                <c:pt idx="30">
                  <c:v>181</c:v>
                </c:pt>
                <c:pt idx="31">
                  <c:v>191</c:v>
                </c:pt>
                <c:pt idx="32">
                  <c:v>194</c:v>
                </c:pt>
                <c:pt idx="33">
                  <c:v>197</c:v>
                </c:pt>
                <c:pt idx="34">
                  <c:v>215</c:v>
                </c:pt>
                <c:pt idx="35">
                  <c:v>246</c:v>
                </c:pt>
                <c:pt idx="36">
                  <c:v>251</c:v>
                </c:pt>
                <c:pt idx="37">
                  <c:v>260</c:v>
                </c:pt>
                <c:pt idx="38">
                  <c:v>277</c:v>
                </c:pt>
                <c:pt idx="39">
                  <c:v>294</c:v>
                </c:pt>
                <c:pt idx="40">
                  <c:v>295</c:v>
                </c:pt>
                <c:pt idx="41">
                  <c:v>299</c:v>
                </c:pt>
                <c:pt idx="42">
                  <c:v>321</c:v>
                </c:pt>
                <c:pt idx="43">
                  <c:v>327</c:v>
                </c:pt>
                <c:pt idx="44">
                  <c:v>347</c:v>
                </c:pt>
                <c:pt idx="45">
                  <c:v>375</c:v>
                </c:pt>
                <c:pt idx="46">
                  <c:v>397</c:v>
                </c:pt>
                <c:pt idx="47">
                  <c:v>402</c:v>
                </c:pt>
                <c:pt idx="48">
                  <c:v>425</c:v>
                </c:pt>
                <c:pt idx="49">
                  <c:v>436</c:v>
                </c:pt>
                <c:pt idx="50">
                  <c:v>448</c:v>
                </c:pt>
                <c:pt idx="51">
                  <c:v>450</c:v>
                </c:pt>
                <c:pt idx="52">
                  <c:v>461</c:v>
                </c:pt>
                <c:pt idx="53">
                  <c:v>466</c:v>
                </c:pt>
                <c:pt idx="54">
                  <c:v>514</c:v>
                </c:pt>
                <c:pt idx="55">
                  <c:v>532</c:v>
                </c:pt>
                <c:pt idx="56">
                  <c:v>539</c:v>
                </c:pt>
                <c:pt idx="57">
                  <c:v>543</c:v>
                </c:pt>
                <c:pt idx="58">
                  <c:v>573</c:v>
                </c:pt>
                <c:pt idx="59">
                  <c:v>585</c:v>
                </c:pt>
                <c:pt idx="60">
                  <c:v>653</c:v>
                </c:pt>
                <c:pt idx="61">
                  <c:v>717</c:v>
                </c:pt>
                <c:pt idx="62">
                  <c:v>720</c:v>
                </c:pt>
                <c:pt idx="63">
                  <c:v>733</c:v>
                </c:pt>
                <c:pt idx="64">
                  <c:v>742</c:v>
                </c:pt>
                <c:pt idx="65">
                  <c:v>805</c:v>
                </c:pt>
                <c:pt idx="66">
                  <c:v>830</c:v>
                </c:pt>
                <c:pt idx="67">
                  <c:v>834</c:v>
                </c:pt>
                <c:pt idx="68">
                  <c:v>840</c:v>
                </c:pt>
                <c:pt idx="69">
                  <c:v>1087</c:v>
                </c:pt>
                <c:pt idx="70" formatCode="General">
                  <c:v>1100</c:v>
                </c:pt>
              </c:numCache>
            </c:numRef>
          </c:xVal>
          <c:yVal>
            <c:numRef>
              <c:f>'Angio Funnel'!$F$2:$F$72</c:f>
              <c:numCache>
                <c:formatCode>0.00%</c:formatCode>
                <c:ptCount val="71"/>
                <c:pt idx="0">
                  <c:v>0.5</c:v>
                </c:pt>
                <c:pt idx="1">
                  <c:v>0.26393836736679077</c:v>
                </c:pt>
                <c:pt idx="2">
                  <c:v>0.23511198163032532</c:v>
                </c:pt>
                <c:pt idx="3">
                  <c:v>0.19340282678604126</c:v>
                </c:pt>
                <c:pt idx="4">
                  <c:v>0.15090496838092804</c:v>
                </c:pt>
                <c:pt idx="5">
                  <c:v>0.11891812831163406</c:v>
                </c:pt>
                <c:pt idx="6">
                  <c:v>0.11208734661340714</c:v>
                </c:pt>
                <c:pt idx="7">
                  <c:v>0.10890967398881912</c:v>
                </c:pt>
                <c:pt idx="8">
                  <c:v>9.5221132040023804E-2</c:v>
                </c:pt>
                <c:pt idx="9">
                  <c:v>9.2876210808753967E-2</c:v>
                </c:pt>
                <c:pt idx="10">
                  <c:v>8.9635774493217468E-2</c:v>
                </c:pt>
                <c:pt idx="11">
                  <c:v>8.6121469736099243E-2</c:v>
                </c:pt>
                <c:pt idx="12">
                  <c:v>8.1239774823188782E-2</c:v>
                </c:pt>
                <c:pt idx="13">
                  <c:v>7.8180104494094849E-2</c:v>
                </c:pt>
                <c:pt idx="14">
                  <c:v>7.5187154114246368E-2</c:v>
                </c:pt>
                <c:pt idx="15">
                  <c:v>6.801094114780426E-2</c:v>
                </c:pt>
                <c:pt idx="16">
                  <c:v>5.9705641120672226E-2</c:v>
                </c:pt>
                <c:pt idx="17">
                  <c:v>5.9244479984045029E-2</c:v>
                </c:pt>
                <c:pt idx="18">
                  <c:v>5.7057924568653107E-2</c:v>
                </c:pt>
                <c:pt idx="19">
                  <c:v>5.6777987629175186E-2</c:v>
                </c:pt>
                <c:pt idx="20">
                  <c:v>5.3839612752199173E-2</c:v>
                </c:pt>
                <c:pt idx="21">
                  <c:v>5.3303938359022141E-2</c:v>
                </c:pt>
                <c:pt idx="22">
                  <c:v>5.2760884165763855E-2</c:v>
                </c:pt>
                <c:pt idx="23">
                  <c:v>5.0779350101947784E-2</c:v>
                </c:pt>
                <c:pt idx="24">
                  <c:v>4.9215234816074371E-2</c:v>
                </c:pt>
                <c:pt idx="25">
                  <c:v>4.8557989299297333E-2</c:v>
                </c:pt>
                <c:pt idx="26">
                  <c:v>4.6952731907367706E-2</c:v>
                </c:pt>
                <c:pt idx="27">
                  <c:v>4.6584926545619965E-2</c:v>
                </c:pt>
                <c:pt idx="28">
                  <c:v>4.526771605014801E-2</c:v>
                </c:pt>
                <c:pt idx="29">
                  <c:v>4.4566206634044647E-2</c:v>
                </c:pt>
                <c:pt idx="30">
                  <c:v>4.3802425265312195E-2</c:v>
                </c:pt>
                <c:pt idx="31">
                  <c:v>4.3200433254241943E-2</c:v>
                </c:pt>
                <c:pt idx="32">
                  <c:v>4.3071452528238297E-2</c:v>
                </c:pt>
                <c:pt idx="33">
                  <c:v>4.2904902249574661E-2</c:v>
                </c:pt>
                <c:pt idx="34">
                  <c:v>4.1413914412260056E-2</c:v>
                </c:pt>
                <c:pt idx="35">
                  <c:v>3.9811424911022186E-2</c:v>
                </c:pt>
                <c:pt idx="36">
                  <c:v>3.9445068687200546E-2</c:v>
                </c:pt>
                <c:pt idx="37">
                  <c:v>3.9028361439704895E-2</c:v>
                </c:pt>
                <c:pt idx="38">
                  <c:v>3.8462184369564056E-2</c:v>
                </c:pt>
                <c:pt idx="39">
                  <c:v>3.7532635033130646E-2</c:v>
                </c:pt>
                <c:pt idx="40">
                  <c:v>3.7529606372117996E-2</c:v>
                </c:pt>
                <c:pt idx="41">
                  <c:v>3.749161958694458E-2</c:v>
                </c:pt>
                <c:pt idx="42">
                  <c:v>3.676624596118927E-2</c:v>
                </c:pt>
                <c:pt idx="43">
                  <c:v>3.6473646759986877E-2</c:v>
                </c:pt>
                <c:pt idx="44">
                  <c:v>3.6040686070919037E-2</c:v>
                </c:pt>
                <c:pt idx="45">
                  <c:v>3.5191290080547333E-2</c:v>
                </c:pt>
                <c:pt idx="46">
                  <c:v>3.4701250493526459E-2</c:v>
                </c:pt>
                <c:pt idx="47">
                  <c:v>3.4532483667135239E-2</c:v>
                </c:pt>
                <c:pt idx="48">
                  <c:v>3.4133993089199066E-2</c:v>
                </c:pt>
                <c:pt idx="49">
                  <c:v>3.3872690051794052E-2</c:v>
                </c:pt>
                <c:pt idx="50">
                  <c:v>3.3524833619594574E-2</c:v>
                </c:pt>
                <c:pt idx="51">
                  <c:v>3.3521808683872223E-2</c:v>
                </c:pt>
                <c:pt idx="52">
                  <c:v>3.3426541835069656E-2</c:v>
                </c:pt>
                <c:pt idx="53">
                  <c:v>3.3346801996231079E-2</c:v>
                </c:pt>
                <c:pt idx="54">
                  <c:v>3.2536786049604416E-2</c:v>
                </c:pt>
                <c:pt idx="55">
                  <c:v>3.2218318432569504E-2</c:v>
                </c:pt>
                <c:pt idx="56">
                  <c:v>3.2173153012990952E-2</c:v>
                </c:pt>
                <c:pt idx="57">
                  <c:v>3.2131582498550415E-2</c:v>
                </c:pt>
                <c:pt idx="58">
                  <c:v>3.167402371764183E-2</c:v>
                </c:pt>
                <c:pt idx="59">
                  <c:v>3.1584452837705612E-2</c:v>
                </c:pt>
                <c:pt idx="60">
                  <c:v>3.0749496072530746E-2</c:v>
                </c:pt>
                <c:pt idx="61">
                  <c:v>3.0202852562069893E-2</c:v>
                </c:pt>
                <c:pt idx="62">
                  <c:v>3.0168991535902023E-2</c:v>
                </c:pt>
                <c:pt idx="63">
                  <c:v>2.9993414878845215E-2</c:v>
                </c:pt>
                <c:pt idx="64">
                  <c:v>2.9966536909341812E-2</c:v>
                </c:pt>
                <c:pt idx="65">
                  <c:v>2.948497049510479E-2</c:v>
                </c:pt>
                <c:pt idx="66">
                  <c:v>2.9307212680578232E-2</c:v>
                </c:pt>
                <c:pt idx="67">
                  <c:v>2.9287271201610565E-2</c:v>
                </c:pt>
                <c:pt idx="68">
                  <c:v>2.9248209670186043E-2</c:v>
                </c:pt>
                <c:pt idx="69">
                  <c:v>2.785935066640377E-2</c:v>
                </c:pt>
                <c:pt idx="70">
                  <c:v>2.7810217812657356E-2</c:v>
                </c:pt>
              </c:numCache>
            </c:numRef>
          </c:yVal>
          <c:smooth val="0"/>
          <c:extLst>
            <c:ext xmlns:c16="http://schemas.microsoft.com/office/drawing/2014/chart" uri="{C3380CC4-5D6E-409C-BE32-E72D297353CC}">
              <c16:uniqueId val="{00000000-45F4-4181-9F9F-AFB204ED89EA}"/>
            </c:ext>
          </c:extLst>
        </c:ser>
        <c:ser>
          <c:idx val="6"/>
          <c:order val="6"/>
          <c:tx>
            <c:v>Lower 95 Funnel Limits</c:v>
          </c:tx>
          <c:spPr>
            <a:ln w="15875" cap="rnd">
              <a:solidFill>
                <a:schemeClr val="accent2">
                  <a:lumMod val="40000"/>
                  <a:lumOff val="60000"/>
                </a:schemeClr>
              </a:solidFill>
              <a:prstDash val="dash"/>
              <a:round/>
            </a:ln>
            <a:effectLst/>
          </c:spPr>
          <c:marker>
            <c:symbol val="none"/>
          </c:marker>
          <c:xVal>
            <c:numRef>
              <c:f>'Angio Funnel'!$B$2:$B$72</c:f>
              <c:numCache>
                <c:formatCode>#,##0</c:formatCode>
                <c:ptCount val="71"/>
                <c:pt idx="0" formatCode="General">
                  <c:v>0</c:v>
                </c:pt>
                <c:pt idx="1">
                  <c:v>7</c:v>
                </c:pt>
                <c:pt idx="2">
                  <c:v>8</c:v>
                </c:pt>
                <c:pt idx="3">
                  <c:v>10</c:v>
                </c:pt>
                <c:pt idx="4">
                  <c:v>14</c:v>
                </c:pt>
                <c:pt idx="5">
                  <c:v>23</c:v>
                </c:pt>
                <c:pt idx="6">
                  <c:v>25</c:v>
                </c:pt>
                <c:pt idx="7">
                  <c:v>26</c:v>
                </c:pt>
                <c:pt idx="8">
                  <c:v>31</c:v>
                </c:pt>
                <c:pt idx="9">
                  <c:v>32</c:v>
                </c:pt>
                <c:pt idx="10">
                  <c:v>34</c:v>
                </c:pt>
                <c:pt idx="11">
                  <c:v>40</c:v>
                </c:pt>
                <c:pt idx="12">
                  <c:v>45</c:v>
                </c:pt>
                <c:pt idx="13">
                  <c:v>48</c:v>
                </c:pt>
                <c:pt idx="14">
                  <c:v>51</c:v>
                </c:pt>
                <c:pt idx="15">
                  <c:v>61</c:v>
                </c:pt>
                <c:pt idx="16">
                  <c:v>82</c:v>
                </c:pt>
                <c:pt idx="17">
                  <c:v>83</c:v>
                </c:pt>
                <c:pt idx="18">
                  <c:v>92</c:v>
                </c:pt>
                <c:pt idx="19">
                  <c:v>94</c:v>
                </c:pt>
                <c:pt idx="20">
                  <c:v>107</c:v>
                </c:pt>
                <c:pt idx="21">
                  <c:v>109</c:v>
                </c:pt>
                <c:pt idx="22">
                  <c:v>111</c:v>
                </c:pt>
                <c:pt idx="23">
                  <c:v>121</c:v>
                </c:pt>
                <c:pt idx="24">
                  <c:v>135</c:v>
                </c:pt>
                <c:pt idx="25">
                  <c:v>139</c:v>
                </c:pt>
                <c:pt idx="26">
                  <c:v>148</c:v>
                </c:pt>
                <c:pt idx="27">
                  <c:v>150</c:v>
                </c:pt>
                <c:pt idx="28">
                  <c:v>169</c:v>
                </c:pt>
                <c:pt idx="29">
                  <c:v>175</c:v>
                </c:pt>
                <c:pt idx="30">
                  <c:v>181</c:v>
                </c:pt>
                <c:pt idx="31">
                  <c:v>191</c:v>
                </c:pt>
                <c:pt idx="32">
                  <c:v>194</c:v>
                </c:pt>
                <c:pt idx="33">
                  <c:v>197</c:v>
                </c:pt>
                <c:pt idx="34">
                  <c:v>215</c:v>
                </c:pt>
                <c:pt idx="35">
                  <c:v>246</c:v>
                </c:pt>
                <c:pt idx="36">
                  <c:v>251</c:v>
                </c:pt>
                <c:pt idx="37">
                  <c:v>260</c:v>
                </c:pt>
                <c:pt idx="38">
                  <c:v>277</c:v>
                </c:pt>
                <c:pt idx="39">
                  <c:v>294</c:v>
                </c:pt>
                <c:pt idx="40">
                  <c:v>295</c:v>
                </c:pt>
                <c:pt idx="41">
                  <c:v>299</c:v>
                </c:pt>
                <c:pt idx="42">
                  <c:v>321</c:v>
                </c:pt>
                <c:pt idx="43">
                  <c:v>327</c:v>
                </c:pt>
                <c:pt idx="44">
                  <c:v>347</c:v>
                </c:pt>
                <c:pt idx="45">
                  <c:v>375</c:v>
                </c:pt>
                <c:pt idx="46">
                  <c:v>397</c:v>
                </c:pt>
                <c:pt idx="47">
                  <c:v>402</c:v>
                </c:pt>
                <c:pt idx="48">
                  <c:v>425</c:v>
                </c:pt>
                <c:pt idx="49">
                  <c:v>436</c:v>
                </c:pt>
                <c:pt idx="50">
                  <c:v>448</c:v>
                </c:pt>
                <c:pt idx="51">
                  <c:v>450</c:v>
                </c:pt>
                <c:pt idx="52">
                  <c:v>461</c:v>
                </c:pt>
                <c:pt idx="53">
                  <c:v>466</c:v>
                </c:pt>
                <c:pt idx="54">
                  <c:v>514</c:v>
                </c:pt>
                <c:pt idx="55">
                  <c:v>532</c:v>
                </c:pt>
                <c:pt idx="56">
                  <c:v>539</c:v>
                </c:pt>
                <c:pt idx="57">
                  <c:v>543</c:v>
                </c:pt>
                <c:pt idx="58">
                  <c:v>573</c:v>
                </c:pt>
                <c:pt idx="59">
                  <c:v>585</c:v>
                </c:pt>
                <c:pt idx="60">
                  <c:v>653</c:v>
                </c:pt>
                <c:pt idx="61">
                  <c:v>717</c:v>
                </c:pt>
                <c:pt idx="62">
                  <c:v>720</c:v>
                </c:pt>
                <c:pt idx="63">
                  <c:v>733</c:v>
                </c:pt>
                <c:pt idx="64">
                  <c:v>742</c:v>
                </c:pt>
                <c:pt idx="65">
                  <c:v>805</c:v>
                </c:pt>
                <c:pt idx="66">
                  <c:v>830</c:v>
                </c:pt>
                <c:pt idx="67">
                  <c:v>834</c:v>
                </c:pt>
                <c:pt idx="68">
                  <c:v>840</c:v>
                </c:pt>
                <c:pt idx="69">
                  <c:v>1087</c:v>
                </c:pt>
                <c:pt idx="70" formatCode="General">
                  <c:v>1100</c:v>
                </c:pt>
              </c:numCache>
            </c:numRef>
          </c:xVal>
          <c:yVal>
            <c:numRef>
              <c:f>'Angio Funnel'!$G$2:$G$72</c:f>
              <c:numCache>
                <c:formatCode>General</c:formatCode>
                <c:ptCount val="71"/>
                <c:pt idx="33" formatCode="0.00%">
                  <c:v>9.2154834419488907E-5</c:v>
                </c:pt>
                <c:pt idx="34" formatCode="0.00%">
                  <c:v>5.6918192422017455E-4</c:v>
                </c:pt>
                <c:pt idx="35" formatCode="0.00%">
                  <c:v>1.4768547844141722E-3</c:v>
                </c:pt>
                <c:pt idx="36" formatCode="0.00%">
                  <c:v>1.6429490642622113E-3</c:v>
                </c:pt>
                <c:pt idx="37" formatCode="0.00%">
                  <c:v>1.9616174977272749E-3</c:v>
                </c:pt>
                <c:pt idx="38" formatCode="0.00%">
                  <c:v>2.6488965377211571E-3</c:v>
                </c:pt>
                <c:pt idx="39" formatCode="0.00%">
                  <c:v>3.4297844395041466E-3</c:v>
                </c:pt>
                <c:pt idx="40" formatCode="0.00%">
                  <c:v>3.4414893016219139E-3</c:v>
                </c:pt>
                <c:pt idx="41" formatCode="0.00%">
                  <c:v>3.489653579890728E-3</c:v>
                </c:pt>
                <c:pt idx="42" formatCode="0.00%">
                  <c:v>3.8006422109901905E-3</c:v>
                </c:pt>
                <c:pt idx="43" formatCode="0.00%">
                  <c:v>3.9018052630126476E-3</c:v>
                </c:pt>
                <c:pt idx="44" formatCode="0.00%">
                  <c:v>4.3042670004069805E-3</c:v>
                </c:pt>
                <c:pt idx="45" formatCode="0.00%">
                  <c:v>5.0888657569885254E-3</c:v>
                </c:pt>
                <c:pt idx="46" formatCode="0.00%">
                  <c:v>5.4006311111152172E-3</c:v>
                </c:pt>
                <c:pt idx="47" formatCode="0.00%">
                  <c:v>5.4502170532941818E-3</c:v>
                </c:pt>
                <c:pt idx="48" formatCode="0.00%">
                  <c:v>5.7440716773271561E-3</c:v>
                </c:pt>
                <c:pt idx="49" formatCode="0.00%">
                  <c:v>5.9297150000929832E-3</c:v>
                </c:pt>
                <c:pt idx="50" formatCode="0.00%">
                  <c:v>6.1725219711661339E-3</c:v>
                </c:pt>
                <c:pt idx="51" formatCode="0.00%">
                  <c:v>6.2175230123102665E-3</c:v>
                </c:pt>
                <c:pt idx="52" formatCode="0.00%">
                  <c:v>6.4907404594123363E-3</c:v>
                </c:pt>
                <c:pt idx="53" formatCode="0.00%">
                  <c:v>6.524259690195322E-3</c:v>
                </c:pt>
                <c:pt idx="54" formatCode="0.00%">
                  <c:v>6.971270777285099E-3</c:v>
                </c:pt>
                <c:pt idx="55" formatCode="0.00%">
                  <c:v>7.2705359198153019E-3</c:v>
                </c:pt>
                <c:pt idx="56" formatCode="0.00%">
                  <c:v>7.4123679660260677E-3</c:v>
                </c:pt>
                <c:pt idx="57" formatCode="0.00%">
                  <c:v>7.4311131611466408E-3</c:v>
                </c:pt>
                <c:pt idx="58" formatCode="0.00%">
                  <c:v>7.6096327975392342E-3</c:v>
                </c:pt>
                <c:pt idx="59" formatCode="0.00%">
                  <c:v>7.7229901216924191E-3</c:v>
                </c:pt>
                <c:pt idx="60" formatCode="0.00%">
                  <c:v>8.3286138251423836E-3</c:v>
                </c:pt>
                <c:pt idx="61" formatCode="0.00%">
                  <c:v>8.8263265788555145E-3</c:v>
                </c:pt>
                <c:pt idx="62" formatCode="0.00%">
                  <c:v>8.8433753699064255E-3</c:v>
                </c:pt>
                <c:pt idx="63" formatCode="0.00%">
                  <c:v>8.932407945394516E-3</c:v>
                </c:pt>
                <c:pt idx="64" formatCode="0.00%">
                  <c:v>9.0097365900874138E-3</c:v>
                </c:pt>
                <c:pt idx="65" formatCode="0.00%">
                  <c:v>9.3946782872080803E-3</c:v>
                </c:pt>
                <c:pt idx="66" formatCode="0.00%">
                  <c:v>9.6180159598588943E-3</c:v>
                </c:pt>
                <c:pt idx="67" formatCode="0.00%">
                  <c:v>9.6328062936663628E-3</c:v>
                </c:pt>
                <c:pt idx="68" formatCode="0.00%">
                  <c:v>9.6444152295589447E-3</c:v>
                </c:pt>
                <c:pt idx="69" formatCode="0.00%">
                  <c:v>1.0738197714090347E-2</c:v>
                </c:pt>
                <c:pt idx="70" formatCode="0.00%">
                  <c:v>1.081471610814333E-2</c:v>
                </c:pt>
              </c:numCache>
            </c:numRef>
          </c:yVal>
          <c:smooth val="0"/>
          <c:extLst>
            <c:ext xmlns:c16="http://schemas.microsoft.com/office/drawing/2014/chart" uri="{C3380CC4-5D6E-409C-BE32-E72D297353CC}">
              <c16:uniqueId val="{00000004-45F4-4181-9F9F-AFB204ED89EA}"/>
            </c:ext>
          </c:extLst>
        </c:ser>
        <c:dLbls>
          <c:showLegendKey val="0"/>
          <c:showVal val="0"/>
          <c:showCatName val="0"/>
          <c:showSerName val="0"/>
          <c:showPercent val="0"/>
          <c:showBubbleSize val="0"/>
        </c:dLbls>
        <c:axId val="578498000"/>
        <c:axId val="578493408"/>
      </c:scatterChart>
      <c:valAx>
        <c:axId val="578498000"/>
        <c:scaling>
          <c:orientation val="minMax"/>
          <c:max val="11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GB"/>
                  <a:t>Number of operations</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578493408"/>
        <c:crosses val="autoZero"/>
        <c:crossBetween val="midCat"/>
        <c:majorUnit val="100"/>
      </c:valAx>
      <c:valAx>
        <c:axId val="578493408"/>
        <c:scaling>
          <c:orientation val="minMax"/>
          <c:max val="0.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GB"/>
                  <a:t>% In hospital deaths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578498000"/>
        <c:crosses val="autoZero"/>
        <c:crossBetween val="midCat"/>
        <c:majorUnit val="5.000000000000001E-2"/>
        <c:minorUnit val="5.000000000000001E-3"/>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'Lower Limb Bypass'!$J$1</c:f>
              <c:strCache>
                <c:ptCount val="1"/>
                <c:pt idx="0">
                  <c:v>Adjusted in-hospital mortality bypass 2020-2022</c:v>
                </c:pt>
              </c:strCache>
            </c:strRef>
          </c:tx>
          <c:spPr>
            <a:ln w="25400" cap="rnd">
              <a:noFill/>
              <a:round/>
            </a:ln>
            <a:effectLst/>
          </c:spPr>
          <c:marker>
            <c:symbol val="circle"/>
            <c:size val="5"/>
            <c:spPr>
              <a:solidFill>
                <a:schemeClr val="tx1"/>
              </a:solidFill>
              <a:ln w="9525">
                <a:noFill/>
              </a:ln>
              <a:effectLst/>
            </c:spPr>
          </c:marker>
          <c:xVal>
            <c:numRef>
              <c:f>'Lower Limb Bypass'!$C$2:$C$69</c:f>
              <c:numCache>
                <c:formatCode>#,##0</c:formatCode>
                <c:ptCount val="68"/>
                <c:pt idx="0">
                  <c:v>94</c:v>
                </c:pt>
                <c:pt idx="1">
                  <c:v>85</c:v>
                </c:pt>
                <c:pt idx="2">
                  <c:v>268</c:v>
                </c:pt>
                <c:pt idx="3">
                  <c:v>492</c:v>
                </c:pt>
                <c:pt idx="4">
                  <c:v>290</c:v>
                </c:pt>
                <c:pt idx="5">
                  <c:v>183</c:v>
                </c:pt>
                <c:pt idx="6">
                  <c:v>395</c:v>
                </c:pt>
                <c:pt idx="7">
                  <c:v>267</c:v>
                </c:pt>
                <c:pt idx="8">
                  <c:v>392</c:v>
                </c:pt>
                <c:pt idx="9">
                  <c:v>62</c:v>
                </c:pt>
                <c:pt idx="10">
                  <c:v>71</c:v>
                </c:pt>
                <c:pt idx="11">
                  <c:v>169</c:v>
                </c:pt>
                <c:pt idx="12">
                  <c:v>478</c:v>
                </c:pt>
                <c:pt idx="13">
                  <c:v>265</c:v>
                </c:pt>
                <c:pt idx="14">
                  <c:v>382</c:v>
                </c:pt>
                <c:pt idx="15">
                  <c:v>276</c:v>
                </c:pt>
                <c:pt idx="16">
                  <c:v>460</c:v>
                </c:pt>
                <c:pt idx="17">
                  <c:v>384</c:v>
                </c:pt>
                <c:pt idx="18">
                  <c:v>325</c:v>
                </c:pt>
                <c:pt idx="19">
                  <c:v>262</c:v>
                </c:pt>
                <c:pt idx="20">
                  <c:v>578</c:v>
                </c:pt>
                <c:pt idx="21">
                  <c:v>280</c:v>
                </c:pt>
                <c:pt idx="22">
                  <c:v>487</c:v>
                </c:pt>
                <c:pt idx="23">
                  <c:v>89</c:v>
                </c:pt>
                <c:pt idx="24">
                  <c:v>420</c:v>
                </c:pt>
                <c:pt idx="25">
                  <c:v>62</c:v>
                </c:pt>
                <c:pt idx="26">
                  <c:v>288</c:v>
                </c:pt>
                <c:pt idx="27">
                  <c:v>483</c:v>
                </c:pt>
                <c:pt idx="28">
                  <c:v>106</c:v>
                </c:pt>
                <c:pt idx="29">
                  <c:v>195</c:v>
                </c:pt>
                <c:pt idx="30">
                  <c:v>206</c:v>
                </c:pt>
                <c:pt idx="31">
                  <c:v>151</c:v>
                </c:pt>
                <c:pt idx="32">
                  <c:v>128</c:v>
                </c:pt>
                <c:pt idx="33">
                  <c:v>116</c:v>
                </c:pt>
                <c:pt idx="34">
                  <c:v>214</c:v>
                </c:pt>
                <c:pt idx="35">
                  <c:v>392</c:v>
                </c:pt>
                <c:pt idx="36">
                  <c:v>242</c:v>
                </c:pt>
                <c:pt idx="37">
                  <c:v>216</c:v>
                </c:pt>
                <c:pt idx="38">
                  <c:v>576</c:v>
                </c:pt>
                <c:pt idx="39">
                  <c:v>146</c:v>
                </c:pt>
                <c:pt idx="40">
                  <c:v>161</c:v>
                </c:pt>
                <c:pt idx="41">
                  <c:v>39</c:v>
                </c:pt>
                <c:pt idx="42">
                  <c:v>16</c:v>
                </c:pt>
                <c:pt idx="43">
                  <c:v>215</c:v>
                </c:pt>
                <c:pt idx="44">
                  <c:v>234</c:v>
                </c:pt>
                <c:pt idx="45">
                  <c:v>109</c:v>
                </c:pt>
                <c:pt idx="46">
                  <c:v>199</c:v>
                </c:pt>
                <c:pt idx="47">
                  <c:v>244</c:v>
                </c:pt>
                <c:pt idx="48">
                  <c:v>430</c:v>
                </c:pt>
                <c:pt idx="49">
                  <c:v>173</c:v>
                </c:pt>
                <c:pt idx="50">
                  <c:v>148</c:v>
                </c:pt>
                <c:pt idx="51">
                  <c:v>233</c:v>
                </c:pt>
                <c:pt idx="52">
                  <c:v>378</c:v>
                </c:pt>
                <c:pt idx="53">
                  <c:v>393</c:v>
                </c:pt>
                <c:pt idx="54">
                  <c:v>10</c:v>
                </c:pt>
                <c:pt idx="55">
                  <c:v>107</c:v>
                </c:pt>
                <c:pt idx="56">
                  <c:v>420</c:v>
                </c:pt>
                <c:pt idx="57">
                  <c:v>525</c:v>
                </c:pt>
                <c:pt idx="58">
                  <c:v>240</c:v>
                </c:pt>
                <c:pt idx="59">
                  <c:v>487</c:v>
                </c:pt>
                <c:pt idx="60">
                  <c:v>226</c:v>
                </c:pt>
                <c:pt idx="61">
                  <c:v>169</c:v>
                </c:pt>
                <c:pt idx="62">
                  <c:v>290</c:v>
                </c:pt>
                <c:pt idx="63">
                  <c:v>389</c:v>
                </c:pt>
                <c:pt idx="64">
                  <c:v>119</c:v>
                </c:pt>
                <c:pt idx="65">
                  <c:v>119</c:v>
                </c:pt>
                <c:pt idx="66">
                  <c:v>352</c:v>
                </c:pt>
                <c:pt idx="67">
                  <c:v>333</c:v>
                </c:pt>
              </c:numCache>
            </c:numRef>
          </c:xVal>
          <c:yVal>
            <c:numRef>
              <c:f>'Lower Limb Bypass'!$J$2:$J$69</c:f>
              <c:numCache>
                <c:formatCode>0.0%</c:formatCode>
                <c:ptCount val="68"/>
                <c:pt idx="0">
                  <c:v>0.10093709826469421</c:v>
                </c:pt>
                <c:pt idx="1">
                  <c:v>4.0627062320709229E-2</c:v>
                </c:pt>
                <c:pt idx="2">
                  <c:v>2.6998253539204597E-2</c:v>
                </c:pt>
                <c:pt idx="3">
                  <c:v>2.2560274228453636E-2</c:v>
                </c:pt>
                <c:pt idx="4">
                  <c:v>3.8419164717197418E-2</c:v>
                </c:pt>
                <c:pt idx="5">
                  <c:v>2.9851134866476059E-2</c:v>
                </c:pt>
                <c:pt idx="6">
                  <c:v>1.2294990941882133E-2</c:v>
                </c:pt>
                <c:pt idx="7">
                  <c:v>1.5865480527281761E-2</c:v>
                </c:pt>
                <c:pt idx="8">
                  <c:v>4.5541632920503616E-2</c:v>
                </c:pt>
                <c:pt idx="9">
                  <c:v>1.7589550465345383E-2</c:v>
                </c:pt>
                <c:pt idx="10">
                  <c:v>0</c:v>
                </c:pt>
                <c:pt idx="11">
                  <c:v>4.5732989907264709E-2</c:v>
                </c:pt>
                <c:pt idx="12">
                  <c:v>3.471667692065239E-2</c:v>
                </c:pt>
                <c:pt idx="13">
                  <c:v>2.7384178712964058E-2</c:v>
                </c:pt>
                <c:pt idx="14">
                  <c:v>2.1991124376654625E-2</c:v>
                </c:pt>
                <c:pt idx="15">
                  <c:v>1.724427193403244E-2</c:v>
                </c:pt>
                <c:pt idx="16">
                  <c:v>2.9822107404470444E-2</c:v>
                </c:pt>
                <c:pt idx="17">
                  <c:v>2.9452055692672729E-2</c:v>
                </c:pt>
                <c:pt idx="18">
                  <c:v>4.7370035201311111E-2</c:v>
                </c:pt>
                <c:pt idx="19">
                  <c:v>3.3851273357868195E-2</c:v>
                </c:pt>
                <c:pt idx="20">
                  <c:v>2.5964317843317986E-2</c:v>
                </c:pt>
                <c:pt idx="21">
                  <c:v>2.6067974045872688E-2</c:v>
                </c:pt>
                <c:pt idx="22">
                  <c:v>2.5388117879629135E-2</c:v>
                </c:pt>
                <c:pt idx="23">
                  <c:v>4.9125645309686661E-2</c:v>
                </c:pt>
                <c:pt idx="24">
                  <c:v>3.7326198071241379E-2</c:v>
                </c:pt>
                <c:pt idx="25">
                  <c:v>0</c:v>
                </c:pt>
                <c:pt idx="26">
                  <c:v>3.4545425325632095E-2</c:v>
                </c:pt>
                <c:pt idx="27">
                  <c:v>3.101637214422226E-2</c:v>
                </c:pt>
                <c:pt idx="28">
                  <c:v>8.6728613823652267E-3</c:v>
                </c:pt>
                <c:pt idx="29">
                  <c:v>5.032368004322052E-2</c:v>
                </c:pt>
                <c:pt idx="30">
                  <c:v>1.5856832265853882E-2</c:v>
                </c:pt>
                <c:pt idx="31">
                  <c:v>5.0471458584070206E-2</c:v>
                </c:pt>
                <c:pt idx="32">
                  <c:v>4.2199317365884781E-2</c:v>
                </c:pt>
                <c:pt idx="33">
                  <c:v>4.6949900686740875E-2</c:v>
                </c:pt>
                <c:pt idx="34">
                  <c:v>3.5692345350980759E-2</c:v>
                </c:pt>
                <c:pt idx="35">
                  <c:v>1.7692169174551964E-2</c:v>
                </c:pt>
                <c:pt idx="36">
                  <c:v>4.3574579060077667E-2</c:v>
                </c:pt>
                <c:pt idx="37">
                  <c:v>2.3380482569336891E-2</c:v>
                </c:pt>
                <c:pt idx="38">
                  <c:v>3.4818459302186966E-2</c:v>
                </c:pt>
                <c:pt idx="39">
                  <c:v>1.6781706362962723E-2</c:v>
                </c:pt>
                <c:pt idx="40">
                  <c:v>1.4021420851349831E-2</c:v>
                </c:pt>
                <c:pt idx="41">
                  <c:v>8.3582408726215363E-2</c:v>
                </c:pt>
                <c:pt idx="42">
                  <c:v>0.1270991712808609</c:v>
                </c:pt>
                <c:pt idx="43">
                  <c:v>2.1570334210991859E-2</c:v>
                </c:pt>
                <c:pt idx="44">
                  <c:v>2.6256324723362923E-2</c:v>
                </c:pt>
                <c:pt idx="45">
                  <c:v>2.9297554865479469E-2</c:v>
                </c:pt>
                <c:pt idx="46">
                  <c:v>5.8424649760127068E-3</c:v>
                </c:pt>
                <c:pt idx="47">
                  <c:v>2.1921681240200996E-2</c:v>
                </c:pt>
                <c:pt idx="48">
                  <c:v>2.0289206877350807E-2</c:v>
                </c:pt>
                <c:pt idx="49">
                  <c:v>2.4381520226597786E-2</c:v>
                </c:pt>
                <c:pt idx="50">
                  <c:v>6.0068726539611816E-2</c:v>
                </c:pt>
                <c:pt idx="51">
                  <c:v>2.597704716026783E-2</c:v>
                </c:pt>
                <c:pt idx="52">
                  <c:v>2.9454516246914864E-2</c:v>
                </c:pt>
                <c:pt idx="53">
                  <c:v>2.0781835541129112E-2</c:v>
                </c:pt>
                <c:pt idx="54">
                  <c:v>0</c:v>
                </c:pt>
                <c:pt idx="55">
                  <c:v>1.6179425641894341E-2</c:v>
                </c:pt>
                <c:pt idx="56">
                  <c:v>5.3521297872066498E-2</c:v>
                </c:pt>
                <c:pt idx="57">
                  <c:v>1.1575071141123772E-2</c:v>
                </c:pt>
                <c:pt idx="58">
                  <c:v>1.3402429409325123E-2</c:v>
                </c:pt>
                <c:pt idx="59">
                  <c:v>4.3619953095912933E-2</c:v>
                </c:pt>
                <c:pt idx="60">
                  <c:v>4.4716518372297287E-2</c:v>
                </c:pt>
                <c:pt idx="61">
                  <c:v>0</c:v>
                </c:pt>
                <c:pt idx="62">
                  <c:v>3.6317657679319382E-2</c:v>
                </c:pt>
                <c:pt idx="63">
                  <c:v>1.5836970880627632E-2</c:v>
                </c:pt>
                <c:pt idx="64">
                  <c:v>2.1543426439166069E-2</c:v>
                </c:pt>
                <c:pt idx="65">
                  <c:v>3.8804654031991959E-2</c:v>
                </c:pt>
                <c:pt idx="66">
                  <c:v>2.6429133489727974E-2</c:v>
                </c:pt>
                <c:pt idx="67">
                  <c:v>4.7212116420269012E-2</c:v>
                </c:pt>
              </c:numCache>
            </c:numRef>
          </c:yVal>
          <c:smooth val="0"/>
          <c:extLst>
            <c:ext xmlns:c16="http://schemas.microsoft.com/office/drawing/2014/chart" uri="{C3380CC4-5D6E-409C-BE32-E72D297353CC}">
              <c16:uniqueId val="{00000000-513F-4104-BBA1-A6FFBC42C836}"/>
            </c:ext>
          </c:extLst>
        </c:ser>
        <c:ser>
          <c:idx val="1"/>
          <c:order val="1"/>
          <c:tx>
            <c:v>National Rate</c:v>
          </c:tx>
          <c:spPr>
            <a:ln w="19050" cap="rnd">
              <a:solidFill>
                <a:srgbClr val="00B050"/>
              </a:solidFill>
              <a:round/>
            </a:ln>
            <a:effectLst/>
          </c:spPr>
          <c:marker>
            <c:symbol val="none"/>
          </c:marker>
          <c:xVal>
            <c:numRef>
              <c:f>'Bypass Funnel'!$B$2:$B$69</c:f>
              <c:numCache>
                <c:formatCode>#,##0</c:formatCode>
                <c:ptCount val="68"/>
                <c:pt idx="0" formatCode="General">
                  <c:v>0</c:v>
                </c:pt>
                <c:pt idx="1">
                  <c:v>8</c:v>
                </c:pt>
                <c:pt idx="2">
                  <c:v>9</c:v>
                </c:pt>
                <c:pt idx="3">
                  <c:v>10</c:v>
                </c:pt>
                <c:pt idx="4">
                  <c:v>12</c:v>
                </c:pt>
                <c:pt idx="5">
                  <c:v>16</c:v>
                </c:pt>
                <c:pt idx="6">
                  <c:v>22</c:v>
                </c:pt>
                <c:pt idx="7">
                  <c:v>39</c:v>
                </c:pt>
                <c:pt idx="8">
                  <c:v>62</c:v>
                </c:pt>
                <c:pt idx="9">
                  <c:v>71</c:v>
                </c:pt>
                <c:pt idx="10">
                  <c:v>85</c:v>
                </c:pt>
                <c:pt idx="11">
                  <c:v>89</c:v>
                </c:pt>
                <c:pt idx="12">
                  <c:v>94</c:v>
                </c:pt>
                <c:pt idx="13">
                  <c:v>106</c:v>
                </c:pt>
                <c:pt idx="14">
                  <c:v>107</c:v>
                </c:pt>
                <c:pt idx="15">
                  <c:v>109</c:v>
                </c:pt>
                <c:pt idx="16">
                  <c:v>116</c:v>
                </c:pt>
                <c:pt idx="17">
                  <c:v>119</c:v>
                </c:pt>
                <c:pt idx="18">
                  <c:v>128</c:v>
                </c:pt>
                <c:pt idx="19">
                  <c:v>146</c:v>
                </c:pt>
                <c:pt idx="20">
                  <c:v>148</c:v>
                </c:pt>
                <c:pt idx="21">
                  <c:v>151</c:v>
                </c:pt>
                <c:pt idx="22">
                  <c:v>161</c:v>
                </c:pt>
                <c:pt idx="23">
                  <c:v>164</c:v>
                </c:pt>
                <c:pt idx="24">
                  <c:v>169</c:v>
                </c:pt>
                <c:pt idx="25">
                  <c:v>173</c:v>
                </c:pt>
                <c:pt idx="26">
                  <c:v>183</c:v>
                </c:pt>
                <c:pt idx="27">
                  <c:v>195</c:v>
                </c:pt>
                <c:pt idx="28">
                  <c:v>199</c:v>
                </c:pt>
                <c:pt idx="29">
                  <c:v>206</c:v>
                </c:pt>
                <c:pt idx="30">
                  <c:v>214</c:v>
                </c:pt>
                <c:pt idx="31">
                  <c:v>215</c:v>
                </c:pt>
                <c:pt idx="32">
                  <c:v>216</c:v>
                </c:pt>
                <c:pt idx="33">
                  <c:v>226</c:v>
                </c:pt>
                <c:pt idx="34">
                  <c:v>233</c:v>
                </c:pt>
                <c:pt idx="35">
                  <c:v>234</c:v>
                </c:pt>
                <c:pt idx="36">
                  <c:v>240</c:v>
                </c:pt>
                <c:pt idx="37">
                  <c:v>242</c:v>
                </c:pt>
                <c:pt idx="38">
                  <c:v>244</c:v>
                </c:pt>
                <c:pt idx="39">
                  <c:v>262</c:v>
                </c:pt>
                <c:pt idx="40">
                  <c:v>265</c:v>
                </c:pt>
                <c:pt idx="41">
                  <c:v>267</c:v>
                </c:pt>
                <c:pt idx="42">
                  <c:v>268</c:v>
                </c:pt>
                <c:pt idx="43">
                  <c:v>276</c:v>
                </c:pt>
                <c:pt idx="44">
                  <c:v>280</c:v>
                </c:pt>
                <c:pt idx="45">
                  <c:v>288</c:v>
                </c:pt>
                <c:pt idx="46">
                  <c:v>290</c:v>
                </c:pt>
                <c:pt idx="47">
                  <c:v>325</c:v>
                </c:pt>
                <c:pt idx="48">
                  <c:v>333</c:v>
                </c:pt>
                <c:pt idx="49">
                  <c:v>352</c:v>
                </c:pt>
                <c:pt idx="50">
                  <c:v>378</c:v>
                </c:pt>
                <c:pt idx="51">
                  <c:v>382</c:v>
                </c:pt>
                <c:pt idx="52">
                  <c:v>384</c:v>
                </c:pt>
                <c:pt idx="53">
                  <c:v>389</c:v>
                </c:pt>
                <c:pt idx="54">
                  <c:v>392</c:v>
                </c:pt>
                <c:pt idx="55">
                  <c:v>393</c:v>
                </c:pt>
                <c:pt idx="56">
                  <c:v>395</c:v>
                </c:pt>
                <c:pt idx="57">
                  <c:v>420</c:v>
                </c:pt>
                <c:pt idx="58">
                  <c:v>430</c:v>
                </c:pt>
                <c:pt idx="59">
                  <c:v>460</c:v>
                </c:pt>
                <c:pt idx="60">
                  <c:v>478</c:v>
                </c:pt>
                <c:pt idx="61">
                  <c:v>483</c:v>
                </c:pt>
                <c:pt idx="62">
                  <c:v>487</c:v>
                </c:pt>
                <c:pt idx="63">
                  <c:v>492</c:v>
                </c:pt>
                <c:pt idx="64">
                  <c:v>525</c:v>
                </c:pt>
                <c:pt idx="65">
                  <c:v>576</c:v>
                </c:pt>
                <c:pt idx="66">
                  <c:v>578</c:v>
                </c:pt>
                <c:pt idx="67" formatCode="General">
                  <c:v>600</c:v>
                </c:pt>
              </c:numCache>
            </c:numRef>
          </c:xVal>
          <c:yVal>
            <c:numRef>
              <c:f>'Bypass Funnel'!$D$2:$D$69</c:f>
              <c:numCache>
                <c:formatCode>0.0%</c:formatCode>
                <c:ptCount val="68"/>
                <c:pt idx="0">
                  <c:v>0.03</c:v>
                </c:pt>
                <c:pt idx="1">
                  <c:v>0.03</c:v>
                </c:pt>
                <c:pt idx="2">
                  <c:v>0.03</c:v>
                </c:pt>
                <c:pt idx="3">
                  <c:v>0.03</c:v>
                </c:pt>
                <c:pt idx="4">
                  <c:v>0.03</c:v>
                </c:pt>
                <c:pt idx="5">
                  <c:v>0.03</c:v>
                </c:pt>
                <c:pt idx="6">
                  <c:v>0.03</c:v>
                </c:pt>
                <c:pt idx="7">
                  <c:v>0.03</c:v>
                </c:pt>
                <c:pt idx="8">
                  <c:v>0.03</c:v>
                </c:pt>
                <c:pt idx="9">
                  <c:v>0.03</c:v>
                </c:pt>
                <c:pt idx="10">
                  <c:v>0.03</c:v>
                </c:pt>
                <c:pt idx="11">
                  <c:v>0.03</c:v>
                </c:pt>
                <c:pt idx="12">
                  <c:v>0.03</c:v>
                </c:pt>
                <c:pt idx="13">
                  <c:v>0.03</c:v>
                </c:pt>
                <c:pt idx="14">
                  <c:v>0.03</c:v>
                </c:pt>
                <c:pt idx="15">
                  <c:v>0.03</c:v>
                </c:pt>
                <c:pt idx="16">
                  <c:v>0.03</c:v>
                </c:pt>
                <c:pt idx="17">
                  <c:v>0.03</c:v>
                </c:pt>
                <c:pt idx="18">
                  <c:v>0.03</c:v>
                </c:pt>
                <c:pt idx="19">
                  <c:v>0.03</c:v>
                </c:pt>
                <c:pt idx="20">
                  <c:v>0.03</c:v>
                </c:pt>
                <c:pt idx="21">
                  <c:v>0.03</c:v>
                </c:pt>
                <c:pt idx="22">
                  <c:v>0.03</c:v>
                </c:pt>
                <c:pt idx="23">
                  <c:v>0.03</c:v>
                </c:pt>
                <c:pt idx="24">
                  <c:v>0.03</c:v>
                </c:pt>
                <c:pt idx="25">
                  <c:v>0.03</c:v>
                </c:pt>
                <c:pt idx="26">
                  <c:v>0.03</c:v>
                </c:pt>
                <c:pt idx="27">
                  <c:v>0.03</c:v>
                </c:pt>
                <c:pt idx="28">
                  <c:v>0.03</c:v>
                </c:pt>
                <c:pt idx="29">
                  <c:v>0.03</c:v>
                </c:pt>
                <c:pt idx="30">
                  <c:v>0.03</c:v>
                </c:pt>
                <c:pt idx="31">
                  <c:v>0.03</c:v>
                </c:pt>
                <c:pt idx="32">
                  <c:v>0.03</c:v>
                </c:pt>
                <c:pt idx="33">
                  <c:v>0.03</c:v>
                </c:pt>
                <c:pt idx="34">
                  <c:v>0.03</c:v>
                </c:pt>
                <c:pt idx="35">
                  <c:v>0.03</c:v>
                </c:pt>
                <c:pt idx="36">
                  <c:v>0.03</c:v>
                </c:pt>
                <c:pt idx="37">
                  <c:v>0.03</c:v>
                </c:pt>
                <c:pt idx="38">
                  <c:v>0.03</c:v>
                </c:pt>
                <c:pt idx="39">
                  <c:v>0.03</c:v>
                </c:pt>
                <c:pt idx="40">
                  <c:v>0.03</c:v>
                </c:pt>
                <c:pt idx="41">
                  <c:v>0.03</c:v>
                </c:pt>
                <c:pt idx="42">
                  <c:v>0.03</c:v>
                </c:pt>
                <c:pt idx="43">
                  <c:v>0.03</c:v>
                </c:pt>
                <c:pt idx="44">
                  <c:v>0.03</c:v>
                </c:pt>
                <c:pt idx="45">
                  <c:v>0.03</c:v>
                </c:pt>
                <c:pt idx="46">
                  <c:v>0.03</c:v>
                </c:pt>
                <c:pt idx="47">
                  <c:v>0.03</c:v>
                </c:pt>
                <c:pt idx="48">
                  <c:v>0.03</c:v>
                </c:pt>
                <c:pt idx="49">
                  <c:v>0.03</c:v>
                </c:pt>
                <c:pt idx="50">
                  <c:v>0.03</c:v>
                </c:pt>
                <c:pt idx="51">
                  <c:v>0.03</c:v>
                </c:pt>
                <c:pt idx="52">
                  <c:v>0.03</c:v>
                </c:pt>
                <c:pt idx="53">
                  <c:v>0.03</c:v>
                </c:pt>
                <c:pt idx="54">
                  <c:v>0.03</c:v>
                </c:pt>
                <c:pt idx="55">
                  <c:v>0.03</c:v>
                </c:pt>
                <c:pt idx="56">
                  <c:v>0.03</c:v>
                </c:pt>
                <c:pt idx="57">
                  <c:v>0.03</c:v>
                </c:pt>
                <c:pt idx="58">
                  <c:v>0.03</c:v>
                </c:pt>
                <c:pt idx="59">
                  <c:v>0.03</c:v>
                </c:pt>
                <c:pt idx="60">
                  <c:v>0.03</c:v>
                </c:pt>
                <c:pt idx="61">
                  <c:v>0.03</c:v>
                </c:pt>
                <c:pt idx="62">
                  <c:v>0.03</c:v>
                </c:pt>
                <c:pt idx="63">
                  <c:v>0.03</c:v>
                </c:pt>
                <c:pt idx="64">
                  <c:v>0.03</c:v>
                </c:pt>
                <c:pt idx="65">
                  <c:v>0.03</c:v>
                </c:pt>
                <c:pt idx="66">
                  <c:v>0.03</c:v>
                </c:pt>
                <c:pt idx="67">
                  <c:v>0.03</c:v>
                </c:pt>
              </c:numCache>
            </c:numRef>
          </c:yVal>
          <c:smooth val="0"/>
          <c:extLst>
            <c:ext xmlns:c16="http://schemas.microsoft.com/office/drawing/2014/chart" uri="{C3380CC4-5D6E-409C-BE32-E72D297353CC}">
              <c16:uniqueId val="{00000001-513F-4104-BBA1-A6FFBC42C836}"/>
            </c:ext>
          </c:extLst>
        </c:ser>
        <c:ser>
          <c:idx val="2"/>
          <c:order val="2"/>
          <c:tx>
            <c:v>Upper 99.8 Funnel Limits</c:v>
          </c:tx>
          <c:spPr>
            <a:ln w="19050" cap="rnd">
              <a:solidFill>
                <a:srgbClr val="0070C0"/>
              </a:solidFill>
              <a:prstDash val="sysDash"/>
              <a:round/>
            </a:ln>
            <a:effectLst/>
          </c:spPr>
          <c:marker>
            <c:symbol val="circle"/>
            <c:size val="5"/>
            <c:spPr>
              <a:noFill/>
              <a:ln w="9525">
                <a:noFill/>
              </a:ln>
              <a:effectLst/>
            </c:spPr>
          </c:marker>
          <c:xVal>
            <c:numRef>
              <c:f>'Bypass Funnel'!$B$2:$B$69</c:f>
              <c:numCache>
                <c:formatCode>#,##0</c:formatCode>
                <c:ptCount val="68"/>
                <c:pt idx="0" formatCode="General">
                  <c:v>0</c:v>
                </c:pt>
                <c:pt idx="1">
                  <c:v>8</c:v>
                </c:pt>
                <c:pt idx="2">
                  <c:v>9</c:v>
                </c:pt>
                <c:pt idx="3">
                  <c:v>10</c:v>
                </c:pt>
                <c:pt idx="4">
                  <c:v>12</c:v>
                </c:pt>
                <c:pt idx="5">
                  <c:v>16</c:v>
                </c:pt>
                <c:pt idx="6">
                  <c:v>22</c:v>
                </c:pt>
                <c:pt idx="7">
                  <c:v>39</c:v>
                </c:pt>
                <c:pt idx="8">
                  <c:v>62</c:v>
                </c:pt>
                <c:pt idx="9">
                  <c:v>71</c:v>
                </c:pt>
                <c:pt idx="10">
                  <c:v>85</c:v>
                </c:pt>
                <c:pt idx="11">
                  <c:v>89</c:v>
                </c:pt>
                <c:pt idx="12">
                  <c:v>94</c:v>
                </c:pt>
                <c:pt idx="13">
                  <c:v>106</c:v>
                </c:pt>
                <c:pt idx="14">
                  <c:v>107</c:v>
                </c:pt>
                <c:pt idx="15">
                  <c:v>109</c:v>
                </c:pt>
                <c:pt idx="16">
                  <c:v>116</c:v>
                </c:pt>
                <c:pt idx="17">
                  <c:v>119</c:v>
                </c:pt>
                <c:pt idx="18">
                  <c:v>128</c:v>
                </c:pt>
                <c:pt idx="19">
                  <c:v>146</c:v>
                </c:pt>
                <c:pt idx="20">
                  <c:v>148</c:v>
                </c:pt>
                <c:pt idx="21">
                  <c:v>151</c:v>
                </c:pt>
                <c:pt idx="22">
                  <c:v>161</c:v>
                </c:pt>
                <c:pt idx="23">
                  <c:v>164</c:v>
                </c:pt>
                <c:pt idx="24">
                  <c:v>169</c:v>
                </c:pt>
                <c:pt idx="25">
                  <c:v>173</c:v>
                </c:pt>
                <c:pt idx="26">
                  <c:v>183</c:v>
                </c:pt>
                <c:pt idx="27">
                  <c:v>195</c:v>
                </c:pt>
                <c:pt idx="28">
                  <c:v>199</c:v>
                </c:pt>
                <c:pt idx="29">
                  <c:v>206</c:v>
                </c:pt>
                <c:pt idx="30">
                  <c:v>214</c:v>
                </c:pt>
                <c:pt idx="31">
                  <c:v>215</c:v>
                </c:pt>
                <c:pt idx="32">
                  <c:v>216</c:v>
                </c:pt>
                <c:pt idx="33">
                  <c:v>226</c:v>
                </c:pt>
                <c:pt idx="34">
                  <c:v>233</c:v>
                </c:pt>
                <c:pt idx="35">
                  <c:v>234</c:v>
                </c:pt>
                <c:pt idx="36">
                  <c:v>240</c:v>
                </c:pt>
                <c:pt idx="37">
                  <c:v>242</c:v>
                </c:pt>
                <c:pt idx="38">
                  <c:v>244</c:v>
                </c:pt>
                <c:pt idx="39">
                  <c:v>262</c:v>
                </c:pt>
                <c:pt idx="40">
                  <c:v>265</c:v>
                </c:pt>
                <c:pt idx="41">
                  <c:v>267</c:v>
                </c:pt>
                <c:pt idx="42">
                  <c:v>268</c:v>
                </c:pt>
                <c:pt idx="43">
                  <c:v>276</c:v>
                </c:pt>
                <c:pt idx="44">
                  <c:v>280</c:v>
                </c:pt>
                <c:pt idx="45">
                  <c:v>288</c:v>
                </c:pt>
                <c:pt idx="46">
                  <c:v>290</c:v>
                </c:pt>
                <c:pt idx="47">
                  <c:v>325</c:v>
                </c:pt>
                <c:pt idx="48">
                  <c:v>333</c:v>
                </c:pt>
                <c:pt idx="49">
                  <c:v>352</c:v>
                </c:pt>
                <c:pt idx="50">
                  <c:v>378</c:v>
                </c:pt>
                <c:pt idx="51">
                  <c:v>382</c:v>
                </c:pt>
                <c:pt idx="52">
                  <c:v>384</c:v>
                </c:pt>
                <c:pt idx="53">
                  <c:v>389</c:v>
                </c:pt>
                <c:pt idx="54">
                  <c:v>392</c:v>
                </c:pt>
                <c:pt idx="55">
                  <c:v>393</c:v>
                </c:pt>
                <c:pt idx="56">
                  <c:v>395</c:v>
                </c:pt>
                <c:pt idx="57">
                  <c:v>420</c:v>
                </c:pt>
                <c:pt idx="58">
                  <c:v>430</c:v>
                </c:pt>
                <c:pt idx="59">
                  <c:v>460</c:v>
                </c:pt>
                <c:pt idx="60">
                  <c:v>478</c:v>
                </c:pt>
                <c:pt idx="61">
                  <c:v>483</c:v>
                </c:pt>
                <c:pt idx="62">
                  <c:v>487</c:v>
                </c:pt>
                <c:pt idx="63">
                  <c:v>492</c:v>
                </c:pt>
                <c:pt idx="64">
                  <c:v>525</c:v>
                </c:pt>
                <c:pt idx="65">
                  <c:v>576</c:v>
                </c:pt>
                <c:pt idx="66">
                  <c:v>578</c:v>
                </c:pt>
                <c:pt idx="67" formatCode="General">
                  <c:v>600</c:v>
                </c:pt>
              </c:numCache>
            </c:numRef>
          </c:xVal>
          <c:yVal>
            <c:numRef>
              <c:f>'Bypass Funnel'!$C$2:$C$69</c:f>
              <c:numCache>
                <c:formatCode>0.00%</c:formatCode>
                <c:ptCount val="68"/>
                <c:pt idx="0">
                  <c:v>0.5</c:v>
                </c:pt>
                <c:pt idx="1">
                  <c:v>0.4055497944355011</c:v>
                </c:pt>
                <c:pt idx="2">
                  <c:v>0.38902753591537476</c:v>
                </c:pt>
                <c:pt idx="3">
                  <c:v>0.36616021394729614</c:v>
                </c:pt>
                <c:pt idx="4">
                  <c:v>0.32034006714820862</c:v>
                </c:pt>
                <c:pt idx="5">
                  <c:v>0.25375193357467651</c:v>
                </c:pt>
                <c:pt idx="6">
                  <c:v>0.21895338594913483</c:v>
                </c:pt>
                <c:pt idx="7">
                  <c:v>0.15362405776977539</c:v>
                </c:pt>
                <c:pt idx="8">
                  <c:v>0.12467083334922791</c:v>
                </c:pt>
                <c:pt idx="9">
                  <c:v>0.11576048284769058</c:v>
                </c:pt>
                <c:pt idx="10">
                  <c:v>0.10661349445581436</c:v>
                </c:pt>
                <c:pt idx="11">
                  <c:v>0.10481814295053482</c:v>
                </c:pt>
                <c:pt idx="12">
                  <c:v>0.10270086675882339</c:v>
                </c:pt>
                <c:pt idx="13">
                  <c:v>9.6975266933441162E-2</c:v>
                </c:pt>
                <c:pt idx="14">
                  <c:v>9.6770748496055603E-2</c:v>
                </c:pt>
                <c:pt idx="15">
                  <c:v>9.6226528286933899E-2</c:v>
                </c:pt>
                <c:pt idx="16">
                  <c:v>9.3393020331859589E-2</c:v>
                </c:pt>
                <c:pt idx="17">
                  <c:v>9.1930054128170013E-2</c:v>
                </c:pt>
                <c:pt idx="18">
                  <c:v>8.9979924261569977E-2</c:v>
                </c:pt>
                <c:pt idx="19">
                  <c:v>8.5283972322940826E-2</c:v>
                </c:pt>
                <c:pt idx="20">
                  <c:v>8.4885366261005402E-2</c:v>
                </c:pt>
                <c:pt idx="21">
                  <c:v>8.4156885743141174E-2</c:v>
                </c:pt>
                <c:pt idx="22">
                  <c:v>8.1653319299221039E-2</c:v>
                </c:pt>
                <c:pt idx="23">
                  <c:v>8.1413760781288147E-2</c:v>
                </c:pt>
                <c:pt idx="24">
                  <c:v>8.0623418092727661E-2</c:v>
                </c:pt>
                <c:pt idx="25">
                  <c:v>7.9751327633857727E-2</c:v>
                </c:pt>
                <c:pt idx="26">
                  <c:v>7.8048817813396454E-2</c:v>
                </c:pt>
                <c:pt idx="27">
                  <c:v>7.6195135712623596E-2</c:v>
                </c:pt>
                <c:pt idx="28">
                  <c:v>7.5313225388526917E-2</c:v>
                </c:pt>
                <c:pt idx="29">
                  <c:v>7.4891932308673859E-2</c:v>
                </c:pt>
                <c:pt idx="30">
                  <c:v>7.3799990117549896E-2</c:v>
                </c:pt>
                <c:pt idx="31">
                  <c:v>7.3628783226013184E-2</c:v>
                </c:pt>
                <c:pt idx="32">
                  <c:v>7.3451869189739227E-2</c:v>
                </c:pt>
                <c:pt idx="33">
                  <c:v>7.2445176541805267E-2</c:v>
                </c:pt>
                <c:pt idx="34">
                  <c:v>7.171168178319931E-2</c:v>
                </c:pt>
                <c:pt idx="35">
                  <c:v>7.1576595306396484E-2</c:v>
                </c:pt>
                <c:pt idx="36">
                  <c:v>7.0656329393386841E-2</c:v>
                </c:pt>
                <c:pt idx="37">
                  <c:v>7.0417620241641998E-2</c:v>
                </c:pt>
                <c:pt idx="38">
                  <c:v>7.0387229323387146E-2</c:v>
                </c:pt>
                <c:pt idx="39">
                  <c:v>6.8593353033065796E-2</c:v>
                </c:pt>
                <c:pt idx="40">
                  <c:v>6.8437062203884125E-2</c:v>
                </c:pt>
                <c:pt idx="41">
                  <c:v>6.8381570279598236E-2</c:v>
                </c:pt>
                <c:pt idx="42">
                  <c:v>6.8339847028255463E-2</c:v>
                </c:pt>
                <c:pt idx="43">
                  <c:v>6.7740671336650848E-2</c:v>
                </c:pt>
                <c:pt idx="44">
                  <c:v>6.7308120429515839E-2</c:v>
                </c:pt>
                <c:pt idx="45">
                  <c:v>6.6671527922153473E-2</c:v>
                </c:pt>
                <c:pt idx="46">
                  <c:v>6.6605456173419952E-2</c:v>
                </c:pt>
                <c:pt idx="47">
                  <c:v>6.4184732735157013E-2</c:v>
                </c:pt>
                <c:pt idx="48">
                  <c:v>6.3708364963531494E-2</c:v>
                </c:pt>
                <c:pt idx="49">
                  <c:v>6.2486473470926285E-2</c:v>
                </c:pt>
                <c:pt idx="50">
                  <c:v>6.1297908425331116E-2</c:v>
                </c:pt>
                <c:pt idx="51">
                  <c:v>6.1205558478832245E-2</c:v>
                </c:pt>
                <c:pt idx="52">
                  <c:v>6.1133343726396561E-2</c:v>
                </c:pt>
                <c:pt idx="53">
                  <c:v>6.0889948159456253E-2</c:v>
                </c:pt>
                <c:pt idx="54">
                  <c:v>6.0707684606313705E-2</c:v>
                </c:pt>
                <c:pt idx="55">
                  <c:v>6.0641791671514511E-2</c:v>
                </c:pt>
                <c:pt idx="56">
                  <c:v>6.0503095388412476E-2</c:v>
                </c:pt>
                <c:pt idx="57">
                  <c:v>5.9402979910373688E-2</c:v>
                </c:pt>
                <c:pt idx="58">
                  <c:v>5.9156633913516998E-2</c:v>
                </c:pt>
                <c:pt idx="59">
                  <c:v>5.8039348572492599E-2</c:v>
                </c:pt>
                <c:pt idx="60">
                  <c:v>5.7437911629676819E-2</c:v>
                </c:pt>
                <c:pt idx="61">
                  <c:v>5.7271912693977356E-2</c:v>
                </c:pt>
                <c:pt idx="62">
                  <c:v>5.7100612670183182E-2</c:v>
                </c:pt>
                <c:pt idx="63">
                  <c:v>5.6847549974918365E-2</c:v>
                </c:pt>
                <c:pt idx="64">
                  <c:v>5.5994678288698196E-2</c:v>
                </c:pt>
                <c:pt idx="65">
                  <c:v>5.4666120558977127E-2</c:v>
                </c:pt>
                <c:pt idx="66">
                  <c:v>5.461917445063591E-2</c:v>
                </c:pt>
                <c:pt idx="67">
                  <c:v>5.4097499698400497E-2</c:v>
                </c:pt>
              </c:numCache>
            </c:numRef>
          </c:yVal>
          <c:smooth val="0"/>
          <c:extLst>
            <c:ext xmlns:c16="http://schemas.microsoft.com/office/drawing/2014/chart" uri="{C3380CC4-5D6E-409C-BE32-E72D297353CC}">
              <c16:uniqueId val="{00000002-513F-4104-BBA1-A6FFBC42C836}"/>
            </c:ext>
          </c:extLst>
        </c:ser>
        <c:ser>
          <c:idx val="3"/>
          <c:order val="3"/>
          <c:tx>
            <c:strRef>
              <c:f>'Bypass Summary'!$B$1</c:f>
              <c:strCache>
                <c:ptCount val="1"/>
                <c:pt idx="0">
                  <c:v>Barking, Havering and Redbridge University Hospitals NHS Trust</c:v>
                </c:pt>
              </c:strCache>
            </c:strRef>
          </c:tx>
          <c:spPr>
            <a:ln w="25400" cap="rnd">
              <a:noFill/>
              <a:round/>
            </a:ln>
            <a:effectLst/>
          </c:spPr>
          <c:marker>
            <c:symbol val="circle"/>
            <c:size val="5"/>
            <c:spPr>
              <a:solidFill>
                <a:srgbClr val="FF0000"/>
              </a:solidFill>
              <a:ln w="12700">
                <a:solidFill>
                  <a:srgbClr val="FF0000"/>
                </a:solidFill>
              </a:ln>
              <a:effectLst/>
            </c:spPr>
          </c:marker>
          <c:xVal>
            <c:numRef>
              <c:f>'Bypass Summary'!$E$4</c:f>
              <c:numCache>
                <c:formatCode>General</c:formatCode>
                <c:ptCount val="1"/>
                <c:pt idx="0">
                  <c:v>94</c:v>
                </c:pt>
              </c:numCache>
            </c:numRef>
          </c:xVal>
          <c:yVal>
            <c:numRef>
              <c:f>'Bypass Summary'!$G$4</c:f>
              <c:numCache>
                <c:formatCode>0.0%</c:formatCode>
                <c:ptCount val="1"/>
                <c:pt idx="0">
                  <c:v>0.10093709826469421</c:v>
                </c:pt>
              </c:numCache>
            </c:numRef>
          </c:yVal>
          <c:smooth val="0"/>
          <c:extLst>
            <c:ext xmlns:c16="http://schemas.microsoft.com/office/drawing/2014/chart" uri="{C3380CC4-5D6E-409C-BE32-E72D297353CC}">
              <c16:uniqueId val="{00000003-513F-4104-BBA1-A6FFBC42C836}"/>
            </c:ext>
          </c:extLst>
        </c:ser>
        <c:ser>
          <c:idx val="4"/>
          <c:order val="4"/>
          <c:tx>
            <c:v>Lower 99.8 Funnel Limits</c:v>
          </c:tx>
          <c:spPr>
            <a:ln w="22225" cap="rnd">
              <a:solidFill>
                <a:srgbClr val="0070C0"/>
              </a:solidFill>
              <a:prstDash val="sysDash"/>
              <a:round/>
            </a:ln>
            <a:effectLst/>
          </c:spPr>
          <c:marker>
            <c:symbol val="none"/>
          </c:marker>
          <c:xVal>
            <c:numRef>
              <c:f>'Bypass Funnel'!$B$2:$B$69</c:f>
              <c:numCache>
                <c:formatCode>#,##0</c:formatCode>
                <c:ptCount val="68"/>
                <c:pt idx="0" formatCode="General">
                  <c:v>0</c:v>
                </c:pt>
                <c:pt idx="1">
                  <c:v>8</c:v>
                </c:pt>
                <c:pt idx="2">
                  <c:v>9</c:v>
                </c:pt>
                <c:pt idx="3">
                  <c:v>10</c:v>
                </c:pt>
                <c:pt idx="4">
                  <c:v>12</c:v>
                </c:pt>
                <c:pt idx="5">
                  <c:v>16</c:v>
                </c:pt>
                <c:pt idx="6">
                  <c:v>22</c:v>
                </c:pt>
                <c:pt idx="7">
                  <c:v>39</c:v>
                </c:pt>
                <c:pt idx="8">
                  <c:v>62</c:v>
                </c:pt>
                <c:pt idx="9">
                  <c:v>71</c:v>
                </c:pt>
                <c:pt idx="10">
                  <c:v>85</c:v>
                </c:pt>
                <c:pt idx="11">
                  <c:v>89</c:v>
                </c:pt>
                <c:pt idx="12">
                  <c:v>94</c:v>
                </c:pt>
                <c:pt idx="13">
                  <c:v>106</c:v>
                </c:pt>
                <c:pt idx="14">
                  <c:v>107</c:v>
                </c:pt>
                <c:pt idx="15">
                  <c:v>109</c:v>
                </c:pt>
                <c:pt idx="16">
                  <c:v>116</c:v>
                </c:pt>
                <c:pt idx="17">
                  <c:v>119</c:v>
                </c:pt>
                <c:pt idx="18">
                  <c:v>128</c:v>
                </c:pt>
                <c:pt idx="19">
                  <c:v>146</c:v>
                </c:pt>
                <c:pt idx="20">
                  <c:v>148</c:v>
                </c:pt>
                <c:pt idx="21">
                  <c:v>151</c:v>
                </c:pt>
                <c:pt idx="22">
                  <c:v>161</c:v>
                </c:pt>
                <c:pt idx="23">
                  <c:v>164</c:v>
                </c:pt>
                <c:pt idx="24">
                  <c:v>169</c:v>
                </c:pt>
                <c:pt idx="25">
                  <c:v>173</c:v>
                </c:pt>
                <c:pt idx="26">
                  <c:v>183</c:v>
                </c:pt>
                <c:pt idx="27">
                  <c:v>195</c:v>
                </c:pt>
                <c:pt idx="28">
                  <c:v>199</c:v>
                </c:pt>
                <c:pt idx="29">
                  <c:v>206</c:v>
                </c:pt>
                <c:pt idx="30">
                  <c:v>214</c:v>
                </c:pt>
                <c:pt idx="31">
                  <c:v>215</c:v>
                </c:pt>
                <c:pt idx="32">
                  <c:v>216</c:v>
                </c:pt>
                <c:pt idx="33">
                  <c:v>226</c:v>
                </c:pt>
                <c:pt idx="34">
                  <c:v>233</c:v>
                </c:pt>
                <c:pt idx="35">
                  <c:v>234</c:v>
                </c:pt>
                <c:pt idx="36">
                  <c:v>240</c:v>
                </c:pt>
                <c:pt idx="37">
                  <c:v>242</c:v>
                </c:pt>
                <c:pt idx="38">
                  <c:v>244</c:v>
                </c:pt>
                <c:pt idx="39">
                  <c:v>262</c:v>
                </c:pt>
                <c:pt idx="40">
                  <c:v>265</c:v>
                </c:pt>
                <c:pt idx="41">
                  <c:v>267</c:v>
                </c:pt>
                <c:pt idx="42">
                  <c:v>268</c:v>
                </c:pt>
                <c:pt idx="43">
                  <c:v>276</c:v>
                </c:pt>
                <c:pt idx="44">
                  <c:v>280</c:v>
                </c:pt>
                <c:pt idx="45">
                  <c:v>288</c:v>
                </c:pt>
                <c:pt idx="46">
                  <c:v>290</c:v>
                </c:pt>
                <c:pt idx="47">
                  <c:v>325</c:v>
                </c:pt>
                <c:pt idx="48">
                  <c:v>333</c:v>
                </c:pt>
                <c:pt idx="49">
                  <c:v>352</c:v>
                </c:pt>
                <c:pt idx="50">
                  <c:v>378</c:v>
                </c:pt>
                <c:pt idx="51">
                  <c:v>382</c:v>
                </c:pt>
                <c:pt idx="52">
                  <c:v>384</c:v>
                </c:pt>
                <c:pt idx="53">
                  <c:v>389</c:v>
                </c:pt>
                <c:pt idx="54">
                  <c:v>392</c:v>
                </c:pt>
                <c:pt idx="55">
                  <c:v>393</c:v>
                </c:pt>
                <c:pt idx="56">
                  <c:v>395</c:v>
                </c:pt>
                <c:pt idx="57">
                  <c:v>420</c:v>
                </c:pt>
                <c:pt idx="58">
                  <c:v>430</c:v>
                </c:pt>
                <c:pt idx="59">
                  <c:v>460</c:v>
                </c:pt>
                <c:pt idx="60">
                  <c:v>478</c:v>
                </c:pt>
                <c:pt idx="61">
                  <c:v>483</c:v>
                </c:pt>
                <c:pt idx="62">
                  <c:v>487</c:v>
                </c:pt>
                <c:pt idx="63">
                  <c:v>492</c:v>
                </c:pt>
                <c:pt idx="64">
                  <c:v>525</c:v>
                </c:pt>
                <c:pt idx="65">
                  <c:v>576</c:v>
                </c:pt>
                <c:pt idx="66">
                  <c:v>578</c:v>
                </c:pt>
                <c:pt idx="67" formatCode="General">
                  <c:v>600</c:v>
                </c:pt>
              </c:numCache>
            </c:numRef>
          </c:xVal>
          <c:yVal>
            <c:numRef>
              <c:f>'Bypass Funnel'!$E$2:$E$69</c:f>
              <c:numCache>
                <c:formatCode>0.0%</c:formatCode>
                <c:ptCount val="68"/>
                <c:pt idx="34" formatCode="0.00%">
                  <c:v>7.0108879299368709E-5</c:v>
                </c:pt>
                <c:pt idx="35" formatCode="0.00%">
                  <c:v>8.9899345766752958E-5</c:v>
                </c:pt>
                <c:pt idx="36" formatCode="0.00%">
                  <c:v>2.1485015167854726E-4</c:v>
                </c:pt>
                <c:pt idx="37" formatCode="0.00%">
                  <c:v>2.59106804151088E-4</c:v>
                </c:pt>
                <c:pt idx="38" formatCode="0.00%">
                  <c:v>3.048086364287883E-4</c:v>
                </c:pt>
                <c:pt idx="39" formatCode="0.00%">
                  <c:v>7.9751265002414584E-4</c:v>
                </c:pt>
                <c:pt idx="40" formatCode="0.00%">
                  <c:v>8.9731754269450903E-4</c:v>
                </c:pt>
                <c:pt idx="41" formatCode="0.00%">
                  <c:v>9.6729188226163387E-4</c:v>
                </c:pt>
                <c:pt idx="42" formatCode="0.00%">
                  <c:v>1.0033670114353299E-3</c:v>
                </c:pt>
                <c:pt idx="43" formatCode="0.00%">
                  <c:v>1.3207815354689956E-3</c:v>
                </c:pt>
                <c:pt idx="44" formatCode="0.00%">
                  <c:v>1.5010335482656956E-3</c:v>
                </c:pt>
                <c:pt idx="45" formatCode="0.00%">
                  <c:v>1.912803971208632E-3</c:v>
                </c:pt>
                <c:pt idx="46" formatCode="0.00%">
                  <c:v>2.0277905277907848E-3</c:v>
                </c:pt>
                <c:pt idx="47" formatCode="0.00%">
                  <c:v>3.5079487133771181E-3</c:v>
                </c:pt>
                <c:pt idx="48" formatCode="0.00%">
                  <c:v>3.6717841867357492E-3</c:v>
                </c:pt>
                <c:pt idx="49" formatCode="0.00%">
                  <c:v>4.2404411360621452E-3</c:v>
                </c:pt>
                <c:pt idx="50" formatCode="0.00%">
                  <c:v>5.3824782371520996E-3</c:v>
                </c:pt>
                <c:pt idx="51" formatCode="0.00%">
                  <c:v>5.419914610683918E-3</c:v>
                </c:pt>
                <c:pt idx="52" formatCode="0.00%">
                  <c:v>5.441238172352314E-3</c:v>
                </c:pt>
                <c:pt idx="53" formatCode="0.00%">
                  <c:v>5.502727348357439E-3</c:v>
                </c:pt>
                <c:pt idx="54" formatCode="0.00%">
                  <c:v>5.5456226691603661E-3</c:v>
                </c:pt>
                <c:pt idx="55" formatCode="0.00%">
                  <c:v>5.5609839037060738E-3</c:v>
                </c:pt>
                <c:pt idx="56" formatCode="0.00%">
                  <c:v>5.5933673866093159E-3</c:v>
                </c:pt>
                <c:pt idx="57" formatCode="0.00%">
                  <c:v>6.2271966598927975E-3</c:v>
                </c:pt>
                <c:pt idx="58" formatCode="0.00%">
                  <c:v>6.6356728784739971E-3</c:v>
                </c:pt>
                <c:pt idx="59" formatCode="0.00%">
                  <c:v>7.1506495587527752E-3</c:v>
                </c:pt>
                <c:pt idx="60" formatCode="0.00%">
                  <c:v>7.5568761676549911E-3</c:v>
                </c:pt>
                <c:pt idx="61" formatCode="0.00%">
                  <c:v>7.7143637463450432E-3</c:v>
                </c:pt>
                <c:pt idx="62" formatCode="0.00%">
                  <c:v>7.8570926561951637E-3</c:v>
                </c:pt>
                <c:pt idx="63" formatCode="0.00%">
                  <c:v>8.0585610121488571E-3</c:v>
                </c:pt>
                <c:pt idx="64" formatCode="0.00%">
                  <c:v>8.4498142823576927E-3</c:v>
                </c:pt>
                <c:pt idx="65" formatCode="0.00%">
                  <c:v>9.3386406078934669E-3</c:v>
                </c:pt>
                <c:pt idx="66" formatCode="0.00%">
                  <c:v>9.3689551576972008E-3</c:v>
                </c:pt>
                <c:pt idx="67" formatCode="0.00%">
                  <c:v>9.8698539659380913E-3</c:v>
                </c:pt>
              </c:numCache>
            </c:numRef>
          </c:yVal>
          <c:smooth val="0"/>
          <c:extLst>
            <c:ext xmlns:c16="http://schemas.microsoft.com/office/drawing/2014/chart" uri="{C3380CC4-5D6E-409C-BE32-E72D297353CC}">
              <c16:uniqueId val="{00000000-099F-4DF7-B07A-EA317F3CEB46}"/>
            </c:ext>
          </c:extLst>
        </c:ser>
        <c:ser>
          <c:idx val="5"/>
          <c:order val="5"/>
          <c:tx>
            <c:v>Upper 95 Funnel Limits</c:v>
          </c:tx>
          <c:spPr>
            <a:ln w="15875" cap="rnd">
              <a:solidFill>
                <a:schemeClr val="accent2">
                  <a:lumMod val="40000"/>
                  <a:lumOff val="60000"/>
                </a:schemeClr>
              </a:solidFill>
              <a:prstDash val="dash"/>
              <a:round/>
            </a:ln>
            <a:effectLst/>
          </c:spPr>
          <c:marker>
            <c:symbol val="none"/>
          </c:marker>
          <c:xVal>
            <c:numRef>
              <c:f>'Bypass Funnel'!$B$2:$B$69</c:f>
              <c:numCache>
                <c:formatCode>#,##0</c:formatCode>
                <c:ptCount val="68"/>
                <c:pt idx="0" formatCode="General">
                  <c:v>0</c:v>
                </c:pt>
                <c:pt idx="1">
                  <c:v>8</c:v>
                </c:pt>
                <c:pt idx="2">
                  <c:v>9</c:v>
                </c:pt>
                <c:pt idx="3">
                  <c:v>10</c:v>
                </c:pt>
                <c:pt idx="4">
                  <c:v>12</c:v>
                </c:pt>
                <c:pt idx="5">
                  <c:v>16</c:v>
                </c:pt>
                <c:pt idx="6">
                  <c:v>22</c:v>
                </c:pt>
                <c:pt idx="7">
                  <c:v>39</c:v>
                </c:pt>
                <c:pt idx="8">
                  <c:v>62</c:v>
                </c:pt>
                <c:pt idx="9">
                  <c:v>71</c:v>
                </c:pt>
                <c:pt idx="10">
                  <c:v>85</c:v>
                </c:pt>
                <c:pt idx="11">
                  <c:v>89</c:v>
                </c:pt>
                <c:pt idx="12">
                  <c:v>94</c:v>
                </c:pt>
                <c:pt idx="13">
                  <c:v>106</c:v>
                </c:pt>
                <c:pt idx="14">
                  <c:v>107</c:v>
                </c:pt>
                <c:pt idx="15">
                  <c:v>109</c:v>
                </c:pt>
                <c:pt idx="16">
                  <c:v>116</c:v>
                </c:pt>
                <c:pt idx="17">
                  <c:v>119</c:v>
                </c:pt>
                <c:pt idx="18">
                  <c:v>128</c:v>
                </c:pt>
                <c:pt idx="19">
                  <c:v>146</c:v>
                </c:pt>
                <c:pt idx="20">
                  <c:v>148</c:v>
                </c:pt>
                <c:pt idx="21">
                  <c:v>151</c:v>
                </c:pt>
                <c:pt idx="22">
                  <c:v>161</c:v>
                </c:pt>
                <c:pt idx="23">
                  <c:v>164</c:v>
                </c:pt>
                <c:pt idx="24">
                  <c:v>169</c:v>
                </c:pt>
                <c:pt idx="25">
                  <c:v>173</c:v>
                </c:pt>
                <c:pt idx="26">
                  <c:v>183</c:v>
                </c:pt>
                <c:pt idx="27">
                  <c:v>195</c:v>
                </c:pt>
                <c:pt idx="28">
                  <c:v>199</c:v>
                </c:pt>
                <c:pt idx="29">
                  <c:v>206</c:v>
                </c:pt>
                <c:pt idx="30">
                  <c:v>214</c:v>
                </c:pt>
                <c:pt idx="31">
                  <c:v>215</c:v>
                </c:pt>
                <c:pt idx="32">
                  <c:v>216</c:v>
                </c:pt>
                <c:pt idx="33">
                  <c:v>226</c:v>
                </c:pt>
                <c:pt idx="34">
                  <c:v>233</c:v>
                </c:pt>
                <c:pt idx="35">
                  <c:v>234</c:v>
                </c:pt>
                <c:pt idx="36">
                  <c:v>240</c:v>
                </c:pt>
                <c:pt idx="37">
                  <c:v>242</c:v>
                </c:pt>
                <c:pt idx="38">
                  <c:v>244</c:v>
                </c:pt>
                <c:pt idx="39">
                  <c:v>262</c:v>
                </c:pt>
                <c:pt idx="40">
                  <c:v>265</c:v>
                </c:pt>
                <c:pt idx="41">
                  <c:v>267</c:v>
                </c:pt>
                <c:pt idx="42">
                  <c:v>268</c:v>
                </c:pt>
                <c:pt idx="43">
                  <c:v>276</c:v>
                </c:pt>
                <c:pt idx="44">
                  <c:v>280</c:v>
                </c:pt>
                <c:pt idx="45">
                  <c:v>288</c:v>
                </c:pt>
                <c:pt idx="46">
                  <c:v>290</c:v>
                </c:pt>
                <c:pt idx="47">
                  <c:v>325</c:v>
                </c:pt>
                <c:pt idx="48">
                  <c:v>333</c:v>
                </c:pt>
                <c:pt idx="49">
                  <c:v>352</c:v>
                </c:pt>
                <c:pt idx="50">
                  <c:v>378</c:v>
                </c:pt>
                <c:pt idx="51">
                  <c:v>382</c:v>
                </c:pt>
                <c:pt idx="52">
                  <c:v>384</c:v>
                </c:pt>
                <c:pt idx="53">
                  <c:v>389</c:v>
                </c:pt>
                <c:pt idx="54">
                  <c:v>392</c:v>
                </c:pt>
                <c:pt idx="55">
                  <c:v>393</c:v>
                </c:pt>
                <c:pt idx="56">
                  <c:v>395</c:v>
                </c:pt>
                <c:pt idx="57">
                  <c:v>420</c:v>
                </c:pt>
                <c:pt idx="58">
                  <c:v>430</c:v>
                </c:pt>
                <c:pt idx="59">
                  <c:v>460</c:v>
                </c:pt>
                <c:pt idx="60">
                  <c:v>478</c:v>
                </c:pt>
                <c:pt idx="61">
                  <c:v>483</c:v>
                </c:pt>
                <c:pt idx="62">
                  <c:v>487</c:v>
                </c:pt>
                <c:pt idx="63">
                  <c:v>492</c:v>
                </c:pt>
                <c:pt idx="64">
                  <c:v>525</c:v>
                </c:pt>
                <c:pt idx="65">
                  <c:v>576</c:v>
                </c:pt>
                <c:pt idx="66">
                  <c:v>578</c:v>
                </c:pt>
                <c:pt idx="67" formatCode="General">
                  <c:v>600</c:v>
                </c:pt>
              </c:numCache>
            </c:numRef>
          </c:xVal>
          <c:yVal>
            <c:numRef>
              <c:f>'Bypass Funnel'!$F$2:$F$69</c:f>
              <c:numCache>
                <c:formatCode>0.00%</c:formatCode>
                <c:ptCount val="68"/>
                <c:pt idx="0">
                  <c:v>0.5</c:v>
                </c:pt>
                <c:pt idx="1">
                  <c:v>0.24797238409519196</c:v>
                </c:pt>
                <c:pt idx="2">
                  <c:v>0.23341476917266846</c:v>
                </c:pt>
                <c:pt idx="3">
                  <c:v>0.22830504179000854</c:v>
                </c:pt>
                <c:pt idx="4">
                  <c:v>0.21064887940883636</c:v>
                </c:pt>
                <c:pt idx="5">
                  <c:v>0.17482498288154602</c:v>
                </c:pt>
                <c:pt idx="6">
                  <c:v>0.13914678990840912</c:v>
                </c:pt>
                <c:pt idx="7">
                  <c:v>0.10594238340854645</c:v>
                </c:pt>
                <c:pt idx="8">
                  <c:v>8.781365305185318E-2</c:v>
                </c:pt>
                <c:pt idx="9">
                  <c:v>8.2419216632843018E-2</c:v>
                </c:pt>
                <c:pt idx="10">
                  <c:v>7.7734731137752533E-2</c:v>
                </c:pt>
                <c:pt idx="11">
                  <c:v>7.5832217931747437E-2</c:v>
                </c:pt>
                <c:pt idx="12">
                  <c:v>7.3668338358402252E-2</c:v>
                </c:pt>
                <c:pt idx="13">
                  <c:v>7.1275994181632996E-2</c:v>
                </c:pt>
                <c:pt idx="14">
                  <c:v>7.1030072867870331E-2</c:v>
                </c:pt>
                <c:pt idx="15">
                  <c:v>7.0500999689102173E-2</c:v>
                </c:pt>
                <c:pt idx="16">
                  <c:v>6.8391270935535431E-2</c:v>
                </c:pt>
                <c:pt idx="17">
                  <c:v>6.7678801715373993E-2</c:v>
                </c:pt>
                <c:pt idx="18">
                  <c:v>6.6746562719345093E-2</c:v>
                </c:pt>
                <c:pt idx="19">
                  <c:v>6.3768200576305389E-2</c:v>
                </c:pt>
                <c:pt idx="20">
                  <c:v>6.358453631401062E-2</c:v>
                </c:pt>
                <c:pt idx="21">
                  <c:v>6.3229583203792572E-2</c:v>
                </c:pt>
                <c:pt idx="22">
                  <c:v>6.1592977494001389E-2</c:v>
                </c:pt>
                <c:pt idx="23">
                  <c:v>6.1069797724485397E-2</c:v>
                </c:pt>
                <c:pt idx="24">
                  <c:v>6.0915030539035797E-2</c:v>
                </c:pt>
                <c:pt idx="25">
                  <c:v>6.0604244470596313E-2</c:v>
                </c:pt>
                <c:pt idx="26">
                  <c:v>5.9372443705797195E-2</c:v>
                </c:pt>
                <c:pt idx="27">
                  <c:v>5.8460205793380737E-2</c:v>
                </c:pt>
                <c:pt idx="28">
                  <c:v>5.8153640478849411E-2</c:v>
                </c:pt>
                <c:pt idx="29">
                  <c:v>5.7430248707532883E-2</c:v>
                </c:pt>
                <c:pt idx="30">
                  <c:v>5.6741643697023392E-2</c:v>
                </c:pt>
                <c:pt idx="31">
                  <c:v>5.6719444692134857E-2</c:v>
                </c:pt>
                <c:pt idx="32">
                  <c:v>5.6690014898777008E-2</c:v>
                </c:pt>
                <c:pt idx="33">
                  <c:v>5.6081857532262802E-2</c:v>
                </c:pt>
                <c:pt idx="34">
                  <c:v>5.5421832948923111E-2</c:v>
                </c:pt>
                <c:pt idx="35">
                  <c:v>5.5317215621471405E-2</c:v>
                </c:pt>
                <c:pt idx="36">
                  <c:v>5.5069897323846817E-2</c:v>
                </c:pt>
                <c:pt idx="37">
                  <c:v>5.5010076612234116E-2</c:v>
                </c:pt>
                <c:pt idx="38">
                  <c:v>5.4929617792367935E-2</c:v>
                </c:pt>
                <c:pt idx="39">
                  <c:v>5.3706072270870209E-2</c:v>
                </c:pt>
                <c:pt idx="40">
                  <c:v>5.3665250539779663E-2</c:v>
                </c:pt>
                <c:pt idx="41">
                  <c:v>5.361354723572731E-2</c:v>
                </c:pt>
                <c:pt idx="42">
                  <c:v>5.3581096231937408E-2</c:v>
                </c:pt>
                <c:pt idx="43">
                  <c:v>5.3190756589174271E-2</c:v>
                </c:pt>
                <c:pt idx="44">
                  <c:v>5.2926637232303619E-2</c:v>
                </c:pt>
                <c:pt idx="45">
                  <c:v>5.2478816360235214E-2</c:v>
                </c:pt>
                <c:pt idx="46">
                  <c:v>5.2452437579631805E-2</c:v>
                </c:pt>
                <c:pt idx="47">
                  <c:v>5.1101140677928925E-2</c:v>
                </c:pt>
                <c:pt idx="48">
                  <c:v>5.0698511302471161E-2</c:v>
                </c:pt>
                <c:pt idx="49">
                  <c:v>5.0141885876655579E-2</c:v>
                </c:pt>
                <c:pt idx="50">
                  <c:v>4.9331121146678925E-2</c:v>
                </c:pt>
                <c:pt idx="51">
                  <c:v>4.9176778644323349E-2</c:v>
                </c:pt>
                <c:pt idx="52">
                  <c:v>4.9090784043073654E-2</c:v>
                </c:pt>
                <c:pt idx="53">
                  <c:v>4.8861283808946609E-2</c:v>
                </c:pt>
                <c:pt idx="54">
                  <c:v>4.8851016908884048E-2</c:v>
                </c:pt>
                <c:pt idx="55">
                  <c:v>4.8842407763004303E-2</c:v>
                </c:pt>
                <c:pt idx="56">
                  <c:v>4.8817999660968781E-2</c:v>
                </c:pt>
                <c:pt idx="57">
                  <c:v>4.8150278627872467E-2</c:v>
                </c:pt>
                <c:pt idx="58">
                  <c:v>4.7954849898815155E-2</c:v>
                </c:pt>
                <c:pt idx="59">
                  <c:v>4.7255858778953552E-2</c:v>
                </c:pt>
                <c:pt idx="60">
                  <c:v>4.6898402273654938E-2</c:v>
                </c:pt>
                <c:pt idx="61">
                  <c:v>4.6801801770925522E-2</c:v>
                </c:pt>
                <c:pt idx="62">
                  <c:v>4.6702474355697632E-2</c:v>
                </c:pt>
                <c:pt idx="63">
                  <c:v>4.6555090695619583E-2</c:v>
                </c:pt>
                <c:pt idx="64">
                  <c:v>4.5961882919073105E-2</c:v>
                </c:pt>
                <c:pt idx="65">
                  <c:v>4.5114766806364059E-2</c:v>
                </c:pt>
                <c:pt idx="66">
                  <c:v>4.510132223367691E-2</c:v>
                </c:pt>
                <c:pt idx="67">
                  <c:v>4.480646550655365E-2</c:v>
                </c:pt>
              </c:numCache>
            </c:numRef>
          </c:yVal>
          <c:smooth val="0"/>
          <c:extLst>
            <c:ext xmlns:c16="http://schemas.microsoft.com/office/drawing/2014/chart" uri="{C3380CC4-5D6E-409C-BE32-E72D297353CC}">
              <c16:uniqueId val="{00000000-E9CF-4FFA-9B62-E74495243001}"/>
            </c:ext>
          </c:extLst>
        </c:ser>
        <c:ser>
          <c:idx val="6"/>
          <c:order val="6"/>
          <c:tx>
            <c:v>Lower 95 Funnel Limits</c:v>
          </c:tx>
          <c:spPr>
            <a:ln w="15875" cap="rnd">
              <a:solidFill>
                <a:schemeClr val="accent2">
                  <a:lumMod val="40000"/>
                  <a:lumOff val="60000"/>
                </a:schemeClr>
              </a:solidFill>
              <a:prstDash val="dash"/>
              <a:round/>
            </a:ln>
            <a:effectLst/>
          </c:spPr>
          <c:marker>
            <c:symbol val="none"/>
          </c:marker>
          <c:xVal>
            <c:numRef>
              <c:f>'Bypass Funnel'!$B$2:$B$69</c:f>
              <c:numCache>
                <c:formatCode>#,##0</c:formatCode>
                <c:ptCount val="68"/>
                <c:pt idx="0" formatCode="General">
                  <c:v>0</c:v>
                </c:pt>
                <c:pt idx="1">
                  <c:v>8</c:v>
                </c:pt>
                <c:pt idx="2">
                  <c:v>9</c:v>
                </c:pt>
                <c:pt idx="3">
                  <c:v>10</c:v>
                </c:pt>
                <c:pt idx="4">
                  <c:v>12</c:v>
                </c:pt>
                <c:pt idx="5">
                  <c:v>16</c:v>
                </c:pt>
                <c:pt idx="6">
                  <c:v>22</c:v>
                </c:pt>
                <c:pt idx="7">
                  <c:v>39</c:v>
                </c:pt>
                <c:pt idx="8">
                  <c:v>62</c:v>
                </c:pt>
                <c:pt idx="9">
                  <c:v>71</c:v>
                </c:pt>
                <c:pt idx="10">
                  <c:v>85</c:v>
                </c:pt>
                <c:pt idx="11">
                  <c:v>89</c:v>
                </c:pt>
                <c:pt idx="12">
                  <c:v>94</c:v>
                </c:pt>
                <c:pt idx="13">
                  <c:v>106</c:v>
                </c:pt>
                <c:pt idx="14">
                  <c:v>107</c:v>
                </c:pt>
                <c:pt idx="15">
                  <c:v>109</c:v>
                </c:pt>
                <c:pt idx="16">
                  <c:v>116</c:v>
                </c:pt>
                <c:pt idx="17">
                  <c:v>119</c:v>
                </c:pt>
                <c:pt idx="18">
                  <c:v>128</c:v>
                </c:pt>
                <c:pt idx="19">
                  <c:v>146</c:v>
                </c:pt>
                <c:pt idx="20">
                  <c:v>148</c:v>
                </c:pt>
                <c:pt idx="21">
                  <c:v>151</c:v>
                </c:pt>
                <c:pt idx="22">
                  <c:v>161</c:v>
                </c:pt>
                <c:pt idx="23">
                  <c:v>164</c:v>
                </c:pt>
                <c:pt idx="24">
                  <c:v>169</c:v>
                </c:pt>
                <c:pt idx="25">
                  <c:v>173</c:v>
                </c:pt>
                <c:pt idx="26">
                  <c:v>183</c:v>
                </c:pt>
                <c:pt idx="27">
                  <c:v>195</c:v>
                </c:pt>
                <c:pt idx="28">
                  <c:v>199</c:v>
                </c:pt>
                <c:pt idx="29">
                  <c:v>206</c:v>
                </c:pt>
                <c:pt idx="30">
                  <c:v>214</c:v>
                </c:pt>
                <c:pt idx="31">
                  <c:v>215</c:v>
                </c:pt>
                <c:pt idx="32">
                  <c:v>216</c:v>
                </c:pt>
                <c:pt idx="33">
                  <c:v>226</c:v>
                </c:pt>
                <c:pt idx="34">
                  <c:v>233</c:v>
                </c:pt>
                <c:pt idx="35">
                  <c:v>234</c:v>
                </c:pt>
                <c:pt idx="36">
                  <c:v>240</c:v>
                </c:pt>
                <c:pt idx="37">
                  <c:v>242</c:v>
                </c:pt>
                <c:pt idx="38">
                  <c:v>244</c:v>
                </c:pt>
                <c:pt idx="39">
                  <c:v>262</c:v>
                </c:pt>
                <c:pt idx="40">
                  <c:v>265</c:v>
                </c:pt>
                <c:pt idx="41">
                  <c:v>267</c:v>
                </c:pt>
                <c:pt idx="42">
                  <c:v>268</c:v>
                </c:pt>
                <c:pt idx="43">
                  <c:v>276</c:v>
                </c:pt>
                <c:pt idx="44">
                  <c:v>280</c:v>
                </c:pt>
                <c:pt idx="45">
                  <c:v>288</c:v>
                </c:pt>
                <c:pt idx="46">
                  <c:v>290</c:v>
                </c:pt>
                <c:pt idx="47">
                  <c:v>325</c:v>
                </c:pt>
                <c:pt idx="48">
                  <c:v>333</c:v>
                </c:pt>
                <c:pt idx="49">
                  <c:v>352</c:v>
                </c:pt>
                <c:pt idx="50">
                  <c:v>378</c:v>
                </c:pt>
                <c:pt idx="51">
                  <c:v>382</c:v>
                </c:pt>
                <c:pt idx="52">
                  <c:v>384</c:v>
                </c:pt>
                <c:pt idx="53">
                  <c:v>389</c:v>
                </c:pt>
                <c:pt idx="54">
                  <c:v>392</c:v>
                </c:pt>
                <c:pt idx="55">
                  <c:v>393</c:v>
                </c:pt>
                <c:pt idx="56">
                  <c:v>395</c:v>
                </c:pt>
                <c:pt idx="57">
                  <c:v>420</c:v>
                </c:pt>
                <c:pt idx="58">
                  <c:v>430</c:v>
                </c:pt>
                <c:pt idx="59">
                  <c:v>460</c:v>
                </c:pt>
                <c:pt idx="60">
                  <c:v>478</c:v>
                </c:pt>
                <c:pt idx="61">
                  <c:v>483</c:v>
                </c:pt>
                <c:pt idx="62">
                  <c:v>487</c:v>
                </c:pt>
                <c:pt idx="63">
                  <c:v>492</c:v>
                </c:pt>
                <c:pt idx="64">
                  <c:v>525</c:v>
                </c:pt>
                <c:pt idx="65">
                  <c:v>576</c:v>
                </c:pt>
                <c:pt idx="66">
                  <c:v>578</c:v>
                </c:pt>
                <c:pt idx="67" formatCode="General">
                  <c:v>600</c:v>
                </c:pt>
              </c:numCache>
            </c:numRef>
          </c:xVal>
          <c:yVal>
            <c:numRef>
              <c:f>'Bypass Funnel'!$G$2:$G$69</c:f>
              <c:numCache>
                <c:formatCode>0.0%</c:formatCode>
                <c:ptCount val="68"/>
                <c:pt idx="18" formatCode="0.00%">
                  <c:v>3.6142580211162567E-4</c:v>
                </c:pt>
                <c:pt idx="19" formatCode="0.00%">
                  <c:v>1.5819211257621646E-3</c:v>
                </c:pt>
                <c:pt idx="20" formatCode="0.00%">
                  <c:v>1.7277445876970887E-3</c:v>
                </c:pt>
                <c:pt idx="21" formatCode="0.00%">
                  <c:v>1.9523710943758488E-3</c:v>
                </c:pt>
                <c:pt idx="22" formatCode="0.00%">
                  <c:v>2.7644233778119087E-3</c:v>
                </c:pt>
                <c:pt idx="23" formatCode="0.00%">
                  <c:v>3.0311429873108864E-3</c:v>
                </c:pt>
                <c:pt idx="24" formatCode="0.00%">
                  <c:v>3.5044692922383547E-3</c:v>
                </c:pt>
                <c:pt idx="25" formatCode="0.00%">
                  <c:v>3.912381362169981E-3</c:v>
                </c:pt>
                <c:pt idx="26" formatCode="0.00%">
                  <c:v>5.0686309114098549E-3</c:v>
                </c:pt>
                <c:pt idx="27" formatCode="0.00%">
                  <c:v>5.6857871823012829E-3</c:v>
                </c:pt>
                <c:pt idx="28" formatCode="0.00%">
                  <c:v>5.8266953565180302E-3</c:v>
                </c:pt>
                <c:pt idx="29" formatCode="0.00%">
                  <c:v>6.1026751063764095E-3</c:v>
                </c:pt>
                <c:pt idx="30" formatCode="0.00%">
                  <c:v>6.4719598740339279E-3</c:v>
                </c:pt>
                <c:pt idx="31" formatCode="0.00%">
                  <c:v>6.5227127633988857E-3</c:v>
                </c:pt>
                <c:pt idx="32" formatCode="0.00%">
                  <c:v>6.5745683386921883E-3</c:v>
                </c:pt>
                <c:pt idx="33" formatCode="0.00%">
                  <c:v>7.1597234345972538E-3</c:v>
                </c:pt>
                <c:pt idx="34" formatCode="0.00%">
                  <c:v>7.6519735157489777E-3</c:v>
                </c:pt>
                <c:pt idx="35" formatCode="0.00%">
                  <c:v>7.7286339364945889E-3</c:v>
                </c:pt>
                <c:pt idx="36" formatCode="0.00%">
                  <c:v>8.2254856824874878E-3</c:v>
                </c:pt>
                <c:pt idx="37" formatCode="0.00%">
                  <c:v>8.322371169924736E-3</c:v>
                </c:pt>
                <c:pt idx="38" formatCode="0.00%">
                  <c:v>8.3581199869513512E-3</c:v>
                </c:pt>
                <c:pt idx="39" formatCode="0.00%">
                  <c:v>8.7990621104836464E-3</c:v>
                </c:pt>
                <c:pt idx="40" formatCode="0.00%">
                  <c:v>8.8970055803656578E-3</c:v>
                </c:pt>
                <c:pt idx="41" formatCode="0.00%">
                  <c:v>8.9668147265911102E-3</c:v>
                </c:pt>
                <c:pt idx="42" formatCode="0.00%">
                  <c:v>9.003128856420517E-3</c:v>
                </c:pt>
                <c:pt idx="43" formatCode="0.00%">
                  <c:v>9.3300491571426392E-3</c:v>
                </c:pt>
                <c:pt idx="44" formatCode="0.00%">
                  <c:v>9.5199709758162498E-3</c:v>
                </c:pt>
                <c:pt idx="45" formatCode="0.00%">
                  <c:v>9.9602192640304565E-3</c:v>
                </c:pt>
                <c:pt idx="46" formatCode="0.00%">
                  <c:v>1.0084082372486591E-2</c:v>
                </c:pt>
                <c:pt idx="47" formatCode="0.00%">
                  <c:v>1.0955469682812691E-2</c:v>
                </c:pt>
                <c:pt idx="48" formatCode="0.00%">
                  <c:v>1.1262440122663975E-2</c:v>
                </c:pt>
                <c:pt idx="49" formatCode="0.00%">
                  <c:v>1.1801065877079964E-2</c:v>
                </c:pt>
                <c:pt idx="50" formatCode="0.00%">
                  <c:v>1.2373729608952999E-2</c:v>
                </c:pt>
                <c:pt idx="51" formatCode="0.00%">
                  <c:v>1.2509264051914215E-2</c:v>
                </c:pt>
                <c:pt idx="52" formatCode="0.00%">
                  <c:v>1.2582701630890369E-2</c:v>
                </c:pt>
                <c:pt idx="53" formatCode="0.00%">
                  <c:v>1.278393529355526E-2</c:v>
                </c:pt>
                <c:pt idx="54" formatCode="0.00%">
                  <c:v>1.2837444432079792E-2</c:v>
                </c:pt>
                <c:pt idx="55" formatCode="0.00%">
                  <c:v>1.2844845652580261E-2</c:v>
                </c:pt>
                <c:pt idx="56" formatCode="0.00%">
                  <c:v>1.2861043214797974E-2</c:v>
                </c:pt>
                <c:pt idx="57" formatCode="0.00%">
                  <c:v>1.3246978633105755E-2</c:v>
                </c:pt>
                <c:pt idx="58" formatCode="0.00%">
                  <c:v>1.3517986983060837E-2</c:v>
                </c:pt>
                <c:pt idx="59" formatCode="0.00%">
                  <c:v>1.3983198441565037E-2</c:v>
                </c:pt>
                <c:pt idx="60" formatCode="0.00%">
                  <c:v>1.4380457811057568E-2</c:v>
                </c:pt>
                <c:pt idx="61" formatCode="0.00%">
                  <c:v>1.45145608112216E-2</c:v>
                </c:pt>
                <c:pt idx="62" formatCode="0.00%">
                  <c:v>1.4534683898091316E-2</c:v>
                </c:pt>
                <c:pt idx="63" formatCode="0.00%">
                  <c:v>1.4568803831934929E-2</c:v>
                </c:pt>
                <c:pt idx="64" formatCode="0.00%">
                  <c:v>1.5105449594557285E-2</c:v>
                </c:pt>
                <c:pt idx="65" formatCode="0.00%">
                  <c:v>1.5756068751215935E-2</c:v>
                </c:pt>
                <c:pt idx="66" formatCode="0.00%">
                  <c:v>1.5765195712447166E-2</c:v>
                </c:pt>
                <c:pt idx="67" formatCode="0.00%">
                  <c:v>1.5966173261404037E-2</c:v>
                </c:pt>
              </c:numCache>
            </c:numRef>
          </c:yVal>
          <c:smooth val="0"/>
          <c:extLst>
            <c:ext xmlns:c16="http://schemas.microsoft.com/office/drawing/2014/chart" uri="{C3380CC4-5D6E-409C-BE32-E72D297353CC}">
              <c16:uniqueId val="{00000003-E9CF-4FFA-9B62-E74495243001}"/>
            </c:ext>
          </c:extLst>
        </c:ser>
        <c:dLbls>
          <c:showLegendKey val="0"/>
          <c:showVal val="0"/>
          <c:showCatName val="0"/>
          <c:showSerName val="0"/>
          <c:showPercent val="0"/>
          <c:showBubbleSize val="0"/>
        </c:dLbls>
        <c:axId val="578498000"/>
        <c:axId val="578493408"/>
      </c:scatterChart>
      <c:valAx>
        <c:axId val="578498000"/>
        <c:scaling>
          <c:orientation val="minMax"/>
          <c:max val="6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GB"/>
                  <a:t>Number of operations</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578493408"/>
        <c:crosses val="autoZero"/>
        <c:crossBetween val="midCat"/>
        <c:majorUnit val="50"/>
      </c:valAx>
      <c:valAx>
        <c:axId val="578493408"/>
        <c:scaling>
          <c:orientation val="minMax"/>
          <c:max val="0.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GB"/>
                  <a:t>% In hospital deaths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57849800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38100</xdr:colOff>
      <xdr:row>1</xdr:row>
      <xdr:rowOff>9525</xdr:rowOff>
    </xdr:from>
    <xdr:to>
      <xdr:col>10</xdr:col>
      <xdr:colOff>981075</xdr:colOff>
      <xdr:row>26</xdr:row>
      <xdr:rowOff>142874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71</xdr:row>
      <xdr:rowOff>95250</xdr:rowOff>
    </xdr:from>
    <xdr:to>
      <xdr:col>6</xdr:col>
      <xdr:colOff>1095375</xdr:colOff>
      <xdr:row>91</xdr:row>
      <xdr:rowOff>142875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47624</xdr:colOff>
      <xdr:row>56</xdr:row>
      <xdr:rowOff>122465</xdr:rowOff>
    </xdr:from>
    <xdr:to>
      <xdr:col>11</xdr:col>
      <xdr:colOff>1359</xdr:colOff>
      <xdr:row>71</xdr:row>
      <xdr:rowOff>9525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57150</xdr:colOff>
      <xdr:row>27</xdr:row>
      <xdr:rowOff>9525</xdr:rowOff>
    </xdr:from>
    <xdr:to>
      <xdr:col>10</xdr:col>
      <xdr:colOff>990600</xdr:colOff>
      <xdr:row>50</xdr:row>
      <xdr:rowOff>161925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1</xdr:row>
      <xdr:rowOff>95250</xdr:rowOff>
    </xdr:from>
    <xdr:to>
      <xdr:col>14</xdr:col>
      <xdr:colOff>76198</xdr:colOff>
      <xdr:row>27</xdr:row>
      <xdr:rowOff>38099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180975</xdr:colOff>
      <xdr:row>31</xdr:row>
      <xdr:rowOff>133350</xdr:rowOff>
    </xdr:from>
    <xdr:to>
      <xdr:col>14</xdr:col>
      <xdr:colOff>171450</xdr:colOff>
      <xdr:row>57</xdr:row>
      <xdr:rowOff>76199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2</xdr:row>
      <xdr:rowOff>54429</xdr:rowOff>
    </xdr:from>
    <xdr:to>
      <xdr:col>16</xdr:col>
      <xdr:colOff>314323</xdr:colOff>
      <xdr:row>27</xdr:row>
      <xdr:rowOff>66674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31</xdr:row>
      <xdr:rowOff>47625</xdr:rowOff>
    </xdr:from>
    <xdr:to>
      <xdr:col>9</xdr:col>
      <xdr:colOff>816429</xdr:colOff>
      <xdr:row>53</xdr:row>
      <xdr:rowOff>108857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400049</xdr:colOff>
      <xdr:row>5</xdr:row>
      <xdr:rowOff>152400</xdr:rowOff>
    </xdr:from>
    <xdr:to>
      <xdr:col>8</xdr:col>
      <xdr:colOff>217713</xdr:colOff>
      <xdr:row>28</xdr:row>
      <xdr:rowOff>108857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38103</xdr:colOff>
      <xdr:row>2</xdr:row>
      <xdr:rowOff>95249</xdr:rowOff>
    </xdr:from>
    <xdr:to>
      <xdr:col>13</xdr:col>
      <xdr:colOff>95251</xdr:colOff>
      <xdr:row>26</xdr:row>
      <xdr:rowOff>171448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95249</xdr:colOff>
      <xdr:row>30</xdr:row>
      <xdr:rowOff>47625</xdr:rowOff>
    </xdr:from>
    <xdr:to>
      <xdr:col>8</xdr:col>
      <xdr:colOff>206374</xdr:colOff>
      <xdr:row>50</xdr:row>
      <xdr:rowOff>95250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635000</xdr:colOff>
      <xdr:row>32</xdr:row>
      <xdr:rowOff>142875</xdr:rowOff>
    </xdr:from>
    <xdr:to>
      <xdr:col>15</xdr:col>
      <xdr:colOff>396875</xdr:colOff>
      <xdr:row>50</xdr:row>
      <xdr:rowOff>31750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180975</xdr:colOff>
      <xdr:row>51</xdr:row>
      <xdr:rowOff>0</xdr:rowOff>
    </xdr:from>
    <xdr:to>
      <xdr:col>14</xdr:col>
      <xdr:colOff>962025</xdr:colOff>
      <xdr:row>76</xdr:row>
      <xdr:rowOff>152400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81643</xdr:rowOff>
    </xdr:from>
    <xdr:to>
      <xdr:col>12</xdr:col>
      <xdr:colOff>27215</xdr:colOff>
      <xdr:row>26</xdr:row>
      <xdr:rowOff>133349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31</xdr:row>
      <xdr:rowOff>0</xdr:rowOff>
    </xdr:from>
    <xdr:to>
      <xdr:col>7</xdr:col>
      <xdr:colOff>68036</xdr:colOff>
      <xdr:row>52</xdr:row>
      <xdr:rowOff>108857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557893</xdr:colOff>
      <xdr:row>31</xdr:row>
      <xdr:rowOff>27215</xdr:rowOff>
    </xdr:from>
    <xdr:to>
      <xdr:col>13</xdr:col>
      <xdr:colOff>136071</xdr:colOff>
      <xdr:row>52</xdr:row>
      <xdr:rowOff>108856</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4"/>
  <sheetViews>
    <sheetView showGridLines="0" showRowColHeaders="0" tabSelected="1" workbookViewId="0"/>
  </sheetViews>
  <sheetFormatPr defaultRowHeight="15" x14ac:dyDescent="0.25"/>
  <cols>
    <col min="2" max="2" width="8.140625" customWidth="1"/>
    <col min="3" max="3" width="72.140625" customWidth="1"/>
  </cols>
  <sheetData>
    <row r="2" spans="2:3" ht="18.75" x14ac:dyDescent="0.3">
      <c r="C2" s="237" t="s">
        <v>1039</v>
      </c>
    </row>
    <row r="4" spans="2:3" ht="60" x14ac:dyDescent="0.25">
      <c r="C4" s="236" t="s">
        <v>1045</v>
      </c>
    </row>
    <row r="6" spans="2:3" ht="135" x14ac:dyDescent="0.25">
      <c r="C6" s="236" t="s">
        <v>1040</v>
      </c>
    </row>
    <row r="7" spans="2:3" ht="18.75" x14ac:dyDescent="0.3">
      <c r="C7" s="239" t="s">
        <v>1041</v>
      </c>
    </row>
    <row r="9" spans="2:3" ht="15.75" x14ac:dyDescent="0.25">
      <c r="B9" s="12"/>
      <c r="C9" t="s">
        <v>1042</v>
      </c>
    </row>
    <row r="11" spans="2:3" ht="30" x14ac:dyDescent="0.25">
      <c r="B11" s="238"/>
      <c r="C11" s="236" t="s">
        <v>1043</v>
      </c>
    </row>
    <row r="13" spans="2:3" ht="18.75" x14ac:dyDescent="0.3">
      <c r="C13" s="240" t="s">
        <v>1044</v>
      </c>
    </row>
    <row r="14" spans="2:3" ht="45" x14ac:dyDescent="0.25">
      <c r="C14" s="236" t="s">
        <v>1046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70"/>
  <sheetViews>
    <sheetView showGridLines="0" zoomScaleNormal="100" workbookViewId="0">
      <selection activeCell="B1" sqref="B1"/>
    </sheetView>
  </sheetViews>
  <sheetFormatPr defaultRowHeight="15" x14ac:dyDescent="0.25"/>
  <cols>
    <col min="1" max="1" width="10.140625" customWidth="1"/>
    <col min="2" max="2" width="53.140625" bestFit="1" customWidth="1"/>
    <col min="3" max="10" width="19.85546875" customWidth="1"/>
    <col min="13" max="13" width="5.85546875" customWidth="1"/>
    <col min="14" max="14" width="3.28515625" customWidth="1"/>
    <col min="15" max="15" width="26.28515625" style="22" customWidth="1"/>
    <col min="16" max="16" width="10" style="22" customWidth="1"/>
    <col min="17" max="17" width="38.5703125" style="128" bestFit="1" customWidth="1"/>
    <col min="18" max="27" width="9.140625" style="128"/>
    <col min="28" max="28" width="10.7109375" style="128" customWidth="1"/>
    <col min="29" max="29" width="12.140625" style="128" customWidth="1"/>
    <col min="30" max="30" width="9.140625" style="128"/>
    <col min="31" max="31" width="6.42578125" style="128" bestFit="1" customWidth="1"/>
    <col min="32" max="32" width="9.28515625" style="128" bestFit="1" customWidth="1"/>
    <col min="33" max="33" width="13.42578125" style="128" bestFit="1" customWidth="1"/>
    <col min="34" max="34" width="22.42578125" style="128" bestFit="1" customWidth="1"/>
    <col min="35" max="35" width="22.5703125" style="128" bestFit="1" customWidth="1"/>
    <col min="36" max="36" width="9.140625" style="128"/>
    <col min="37" max="37" width="10.140625" style="128" bestFit="1" customWidth="1"/>
    <col min="38" max="38" width="13.42578125" style="128" bestFit="1" customWidth="1"/>
    <col min="39" max="39" width="8.85546875" style="128" bestFit="1" customWidth="1"/>
    <col min="40" max="40" width="14.5703125" style="128" bestFit="1" customWidth="1"/>
    <col min="41" max="41" width="14.7109375" style="128" bestFit="1" customWidth="1"/>
    <col min="42" max="42" width="8.85546875" style="128" bestFit="1" customWidth="1"/>
    <col min="43" max="66" width="9.140625" style="128"/>
    <col min="67" max="67" width="9.140625" style="22"/>
  </cols>
  <sheetData>
    <row r="1" spans="1:42" ht="30.75" customHeight="1" x14ac:dyDescent="0.25">
      <c r="A1" s="47" t="s">
        <v>229</v>
      </c>
      <c r="B1" s="141" t="s">
        <v>291</v>
      </c>
      <c r="AA1" s="200" t="s">
        <v>381</v>
      </c>
      <c r="AB1" s="217" t="s">
        <v>382</v>
      </c>
      <c r="AC1" s="217" t="s">
        <v>383</v>
      </c>
      <c r="AD1" s="218" t="s">
        <v>384</v>
      </c>
      <c r="AE1" s="231" t="s">
        <v>140</v>
      </c>
      <c r="AF1" s="217" t="s">
        <v>748</v>
      </c>
      <c r="AG1" s="204" t="s">
        <v>749</v>
      </c>
      <c r="AH1" s="204" t="s">
        <v>750</v>
      </c>
      <c r="AI1" s="204" t="s">
        <v>751</v>
      </c>
      <c r="AK1" s="231" t="s">
        <v>140</v>
      </c>
      <c r="AL1" s="208" t="s">
        <v>453</v>
      </c>
      <c r="AM1" s="208" t="s">
        <v>752</v>
      </c>
      <c r="AN1" s="208" t="s">
        <v>753</v>
      </c>
      <c r="AO1" s="208" t="s">
        <v>754</v>
      </c>
      <c r="AP1" s="208" t="s">
        <v>329</v>
      </c>
    </row>
    <row r="2" spans="1:42" ht="15.75" x14ac:dyDescent="0.25">
      <c r="E2" s="23" t="s">
        <v>252</v>
      </c>
      <c r="F2" s="242" t="s">
        <v>755</v>
      </c>
      <c r="G2" s="242"/>
      <c r="H2" s="242"/>
      <c r="I2" s="242"/>
      <c r="J2" s="242"/>
      <c r="AA2" s="128">
        <f>VLOOKUP($B$1,'Major Lower Limb Amputation'!$B:$AJ,32,FALSE)</f>
        <v>6</v>
      </c>
      <c r="AB2" s="128">
        <f>VLOOKUP($B$1,'Major Lower Limb Amputation'!$B:$AJ,33,FALSE)</f>
        <v>4</v>
      </c>
      <c r="AC2" s="128">
        <f>VLOOKUP($B$1,'Major Lower Limb Amputation'!$B:$AJ,34,FALSE)</f>
        <v>15</v>
      </c>
      <c r="AD2" s="128">
        <f>VLOOKUP($B$1,'Major Lower Limb Amputation'!$B:$AJ,31,FALSE)</f>
        <v>13</v>
      </c>
      <c r="AE2" s="213" t="s">
        <v>125</v>
      </c>
      <c r="AF2" s="213">
        <v>1</v>
      </c>
      <c r="AG2" s="128">
        <f>VLOOKUP($AE2,'Major Lower Limb Amputation'!$A$7:$AI$74,33,FALSE)</f>
        <v>3</v>
      </c>
      <c r="AH2" s="128">
        <f>VLOOKUP($AE2,'Major Lower Limb Amputation'!$A$7:$AI$74,34,FALSE)</f>
        <v>2</v>
      </c>
      <c r="AI2" s="128">
        <f>VLOOKUP($AE2,'Major Lower Limb Amputation'!$A$7:$AI$74,35,FALSE)</f>
        <v>25</v>
      </c>
      <c r="AK2" s="213" t="s">
        <v>125</v>
      </c>
      <c r="AL2" s="213">
        <v>1</v>
      </c>
      <c r="AM2" s="128">
        <f>VLOOKUP($AK2,'Major Lower Limb Amputation'!$A$7:$AM$74,9,FALSE)</f>
        <v>0.13</v>
      </c>
      <c r="AN2" s="128">
        <f>VLOOKUP($AK2,'Major Lower Limb Amputation'!$A$7:$AM$74,38,FALSE)</f>
        <v>0.08</v>
      </c>
      <c r="AO2" s="128">
        <f>VLOOKUP($AK2,'Major Lower Limb Amputation'!$A$7:$AM$74,37,FALSE)</f>
        <v>0.25</v>
      </c>
      <c r="AP2" s="128">
        <v>1</v>
      </c>
    </row>
    <row r="3" spans="1:42" x14ac:dyDescent="0.25">
      <c r="AB3" s="209" t="s">
        <v>368</v>
      </c>
      <c r="AC3" s="209"/>
      <c r="AD3" s="209" t="s">
        <v>247</v>
      </c>
      <c r="AE3" s="213" t="s">
        <v>117</v>
      </c>
      <c r="AF3" s="213">
        <v>2</v>
      </c>
      <c r="AG3" s="128">
        <f>VLOOKUP($AE3,'Major Lower Limb Amputation'!$A$7:$AI$74,33,FALSE)</f>
        <v>3</v>
      </c>
      <c r="AH3" s="128">
        <f>VLOOKUP($AE3,'Major Lower Limb Amputation'!$A$7:$AI$74,34,FALSE)</f>
        <v>2</v>
      </c>
      <c r="AI3" s="128">
        <f>VLOOKUP($AE3,'Major Lower Limb Amputation'!$A$7:$AI$74,35,FALSE)</f>
        <v>7</v>
      </c>
      <c r="AK3" s="213" t="s">
        <v>12</v>
      </c>
      <c r="AL3" s="213">
        <v>2</v>
      </c>
      <c r="AM3" s="128">
        <f>VLOOKUP($AK3,'Major Lower Limb Amputation'!$A$7:$AM$74,9,FALSE)</f>
        <v>0.21</v>
      </c>
      <c r="AN3" s="128">
        <f>VLOOKUP($AK3,'Major Lower Limb Amputation'!$A$7:$AM$74,38,FALSE)</f>
        <v>0.13999999999999999</v>
      </c>
      <c r="AO3" s="128">
        <f>VLOOKUP($AK3,'Major Lower Limb Amputation'!$A$7:$AM$74,37,FALSE)</f>
        <v>0.41000000000000003</v>
      </c>
      <c r="AP3" s="128">
        <v>1</v>
      </c>
    </row>
    <row r="4" spans="1:42" x14ac:dyDescent="0.25">
      <c r="O4" s="216">
        <f>MATCH(F2,'Major Lower Limb Amputation'!$E$7:$F$7,0)</f>
        <v>1</v>
      </c>
      <c r="AB4" s="209">
        <f>VLOOKUP($B$1,'Major Lower Limb Amputation'!$B:$Y,24,FALSE)</f>
        <v>0.64</v>
      </c>
      <c r="AC4" s="209"/>
      <c r="AD4" s="209">
        <f>VLOOKUP($B$1,'Major Lower Limb Amputation'!$B:$Y,23,FALSE)</f>
        <v>12</v>
      </c>
      <c r="AE4" s="213" t="s">
        <v>429</v>
      </c>
      <c r="AF4" s="213">
        <v>3</v>
      </c>
      <c r="AG4" s="128">
        <f>VLOOKUP($AE4,'Major Lower Limb Amputation'!$A$7:$AI$74,33,FALSE)</f>
        <v>3</v>
      </c>
      <c r="AH4" s="128">
        <f>VLOOKUP($AE4,'Major Lower Limb Amputation'!$A$7:$AI$74,34,FALSE)</f>
        <v>2</v>
      </c>
      <c r="AI4" s="128">
        <f>VLOOKUP($AE4,'Major Lower Limb Amputation'!$A$7:$AI$74,35,FALSE)</f>
        <v>3</v>
      </c>
      <c r="AK4" s="213" t="s">
        <v>348</v>
      </c>
      <c r="AL4" s="213">
        <v>3</v>
      </c>
      <c r="AM4" s="128">
        <f>VLOOKUP($AK4,'Major Lower Limb Amputation'!$A$7:$AM$74,9,FALSE)</f>
        <v>0.36</v>
      </c>
      <c r="AN4" s="128">
        <f>VLOOKUP($AK4,'Major Lower Limb Amputation'!$A$7:$AM$74,38,FALSE)</f>
        <v>0.22999999999999998</v>
      </c>
      <c r="AO4" s="128">
        <f>VLOOKUP($AK4,'Major Lower Limb Amputation'!$A$7:$AM$74,37,FALSE)</f>
        <v>0.63</v>
      </c>
      <c r="AP4" s="128">
        <v>1</v>
      </c>
    </row>
    <row r="5" spans="1:42" ht="30" x14ac:dyDescent="0.25">
      <c r="AA5" s="200" t="s">
        <v>389</v>
      </c>
      <c r="AB5" s="217" t="s">
        <v>391</v>
      </c>
      <c r="AC5" s="217" t="s">
        <v>392</v>
      </c>
      <c r="AD5" s="218" t="s">
        <v>390</v>
      </c>
      <c r="AE5" s="213" t="s">
        <v>87</v>
      </c>
      <c r="AF5" s="213">
        <v>4</v>
      </c>
      <c r="AG5" s="128">
        <f>VLOOKUP($AE5,'Major Lower Limb Amputation'!$A$7:$AI$74,33,FALSE)</f>
        <v>3</v>
      </c>
      <c r="AH5" s="128">
        <f>VLOOKUP($AE5,'Major Lower Limb Amputation'!$A$7:$AI$74,34,FALSE)</f>
        <v>1</v>
      </c>
      <c r="AI5" s="128">
        <f>VLOOKUP($AE5,'Major Lower Limb Amputation'!$A$7:$AI$74,35,FALSE)</f>
        <v>5</v>
      </c>
      <c r="AK5" s="213" t="s">
        <v>88</v>
      </c>
      <c r="AL5" s="213">
        <v>4</v>
      </c>
      <c r="AM5" s="128">
        <f>VLOOKUP($AK5,'Major Lower Limb Amputation'!$A$7:$AM$74,9,FALSE)</f>
        <v>0.38</v>
      </c>
      <c r="AN5" s="128">
        <f>VLOOKUP($AK5,'Major Lower Limb Amputation'!$A$7:$AM$74,38,FALSE)</f>
        <v>0.19</v>
      </c>
      <c r="AO5" s="128">
        <f>VLOOKUP($AK5,'Major Lower Limb Amputation'!$A$7:$AM$74,37,FALSE)</f>
        <v>0.38</v>
      </c>
      <c r="AP5" s="128">
        <v>1</v>
      </c>
    </row>
    <row r="6" spans="1:42" x14ac:dyDescent="0.25">
      <c r="AA6" s="232">
        <f>VLOOKUP($B$1,'Major Lower Limb Amputation'!$B:$AM,8,FALSE)</f>
        <v>3.67</v>
      </c>
      <c r="AB6" s="128">
        <f>VLOOKUP($B$1,'Major Lower Limb Amputation'!$B:$AM,37,FALSE)</f>
        <v>2.1799999999999997</v>
      </c>
      <c r="AC6" s="128">
        <f>VLOOKUP($B$1,'Major Lower Limb Amputation'!$B:$AM,36,FALSE)</f>
        <v>3.83</v>
      </c>
      <c r="AD6" s="128">
        <f>VLOOKUP($B$1,'Major Lower Limb Amputation'!$B:$AM,38,FALSE)</f>
        <v>57</v>
      </c>
      <c r="AE6" s="213" t="s">
        <v>8</v>
      </c>
      <c r="AF6" s="213">
        <v>5</v>
      </c>
      <c r="AG6" s="128">
        <f>VLOOKUP($AE6,'Major Lower Limb Amputation'!$A$7:$AI$74,33,FALSE)</f>
        <v>4</v>
      </c>
      <c r="AH6" s="128">
        <f>VLOOKUP($AE6,'Major Lower Limb Amputation'!$A$7:$AI$74,34,FALSE)</f>
        <v>3</v>
      </c>
      <c r="AI6" s="128">
        <f>VLOOKUP($AE6,'Major Lower Limb Amputation'!$A$7:$AI$74,35,FALSE)</f>
        <v>6</v>
      </c>
      <c r="AK6" s="213" t="s">
        <v>96</v>
      </c>
      <c r="AL6" s="213">
        <v>5</v>
      </c>
      <c r="AM6" s="128">
        <f>VLOOKUP($AK6,'Major Lower Limb Amputation'!$A$7:$AM$74,9,FALSE)</f>
        <v>0.4</v>
      </c>
      <c r="AN6" s="128">
        <f>VLOOKUP($AK6,'Major Lower Limb Amputation'!$A$7:$AM$74,38,FALSE)</f>
        <v>0.15000000000000002</v>
      </c>
      <c r="AO6" s="128">
        <f>VLOOKUP($AK6,'Major Lower Limb Amputation'!$A$7:$AM$74,37,FALSE)</f>
        <v>0.25</v>
      </c>
      <c r="AP6" s="128">
        <v>1</v>
      </c>
    </row>
    <row r="7" spans="1:42" x14ac:dyDescent="0.25">
      <c r="AE7" s="213" t="s">
        <v>115</v>
      </c>
      <c r="AF7" s="213">
        <v>6</v>
      </c>
      <c r="AG7" s="128">
        <f>VLOOKUP($AE7,'Major Lower Limb Amputation'!$A$7:$AI$74,33,FALSE)</f>
        <v>5</v>
      </c>
      <c r="AH7" s="128">
        <f>VLOOKUP($AE7,'Major Lower Limb Amputation'!$A$7:$AI$74,34,FALSE)</f>
        <v>4</v>
      </c>
      <c r="AI7" s="128">
        <f>VLOOKUP($AE7,'Major Lower Limb Amputation'!$A$7:$AI$74,35,FALSE)</f>
        <v>4</v>
      </c>
      <c r="AK7" s="213" t="s">
        <v>39</v>
      </c>
      <c r="AL7" s="213">
        <v>6</v>
      </c>
      <c r="AM7" s="128">
        <f>VLOOKUP($AK7,'Major Lower Limb Amputation'!$A$7:$AM$74,9,FALSE)</f>
        <v>0.42</v>
      </c>
      <c r="AN7" s="128">
        <f>VLOOKUP($AK7,'Major Lower Limb Amputation'!$A$7:$AM$74,38,FALSE)</f>
        <v>0.14999999999999997</v>
      </c>
      <c r="AO7" s="128">
        <f>VLOOKUP($AK7,'Major Lower Limb Amputation'!$A$7:$AM$74,37,FALSE)</f>
        <v>0.26000000000000006</v>
      </c>
      <c r="AP7" s="128">
        <v>1</v>
      </c>
    </row>
    <row r="8" spans="1:42" ht="60" x14ac:dyDescent="0.25">
      <c r="AA8" s="200" t="s">
        <v>460</v>
      </c>
      <c r="AE8" s="213" t="s">
        <v>66</v>
      </c>
      <c r="AF8" s="213">
        <v>7</v>
      </c>
      <c r="AG8" s="128">
        <f>VLOOKUP($AE8,'Major Lower Limb Amputation'!$A$7:$AI$74,33,FALSE)</f>
        <v>5</v>
      </c>
      <c r="AH8" s="128">
        <f>VLOOKUP($AE8,'Major Lower Limb Amputation'!$A$7:$AI$74,34,FALSE)</f>
        <v>4</v>
      </c>
      <c r="AI8" s="128">
        <f>VLOOKUP($AE8,'Major Lower Limb Amputation'!$A$7:$AI$74,35,FALSE)</f>
        <v>9</v>
      </c>
      <c r="AK8" s="213" t="s">
        <v>60</v>
      </c>
      <c r="AL8" s="213">
        <v>7</v>
      </c>
      <c r="AM8" s="128">
        <f>VLOOKUP($AK8,'Major Lower Limb Amputation'!$A$7:$AM$74,9,FALSE)</f>
        <v>0.46</v>
      </c>
      <c r="AN8" s="128">
        <f>VLOOKUP($AK8,'Major Lower Limb Amputation'!$A$7:$AM$74,38,FALSE)</f>
        <v>0.17000000000000004</v>
      </c>
      <c r="AO8" s="128">
        <f>VLOOKUP($AK8,'Major Lower Limb Amputation'!$A$7:$AM$74,37,FALSE)</f>
        <v>0.27999999999999997</v>
      </c>
      <c r="AP8" s="128">
        <v>1</v>
      </c>
    </row>
    <row r="9" spans="1:42" x14ac:dyDescent="0.25">
      <c r="AA9" s="128">
        <f>VLOOKUP($B$1,'Major Lower Limb Amputation'!$B:$AJ,3,FALSE)</f>
        <v>78</v>
      </c>
      <c r="AE9" s="213" t="s">
        <v>127</v>
      </c>
      <c r="AF9" s="213">
        <v>8</v>
      </c>
      <c r="AG9" s="128">
        <f>VLOOKUP($AE9,'Major Lower Limb Amputation'!$A$7:$AI$74,33,FALSE)</f>
        <v>5</v>
      </c>
      <c r="AH9" s="128">
        <f>VLOOKUP($AE9,'Major Lower Limb Amputation'!$A$7:$AI$74,34,FALSE)</f>
        <v>3</v>
      </c>
      <c r="AI9" s="128">
        <f>VLOOKUP($AE9,'Major Lower Limb Amputation'!$A$7:$AI$74,35,FALSE)</f>
        <v>13</v>
      </c>
      <c r="AK9" s="213" t="s">
        <v>22</v>
      </c>
      <c r="AL9" s="213">
        <v>8</v>
      </c>
      <c r="AM9" s="128">
        <f>VLOOKUP($AK9,'Major Lower Limb Amputation'!$A$7:$AM$74,9,FALSE)</f>
        <v>0.52</v>
      </c>
      <c r="AN9" s="128">
        <f>VLOOKUP($AK9,'Major Lower Limb Amputation'!$A$7:$AM$74,38,FALSE)</f>
        <v>0.24</v>
      </c>
      <c r="AO9" s="128">
        <f>VLOOKUP($AK9,'Major Lower Limb Amputation'!$A$7:$AM$74,37,FALSE)</f>
        <v>0.41999999999999993</v>
      </c>
      <c r="AP9" s="128">
        <v>1</v>
      </c>
    </row>
    <row r="10" spans="1:42" x14ac:dyDescent="0.25">
      <c r="AE10" s="213" t="s">
        <v>94</v>
      </c>
      <c r="AF10" s="213">
        <v>9</v>
      </c>
      <c r="AG10" s="128">
        <f>VLOOKUP($AE10,'Major Lower Limb Amputation'!$A$7:$AI$74,33,FALSE)</f>
        <v>5</v>
      </c>
      <c r="AH10" s="128">
        <f>VLOOKUP($AE10,'Major Lower Limb Amputation'!$A$7:$AI$74,34,FALSE)</f>
        <v>3</v>
      </c>
      <c r="AI10" s="128">
        <f>VLOOKUP($AE10,'Major Lower Limb Amputation'!$A$7:$AI$74,35,FALSE)</f>
        <v>13</v>
      </c>
      <c r="AK10" s="213" t="s">
        <v>133</v>
      </c>
      <c r="AL10" s="213">
        <v>9</v>
      </c>
      <c r="AM10" s="128">
        <f>VLOOKUP($AK10,'Major Lower Limb Amputation'!$A$7:$AM$74,9,FALSE)</f>
        <v>0.52</v>
      </c>
      <c r="AN10" s="128">
        <f>VLOOKUP($AK10,'Major Lower Limb Amputation'!$A$7:$AM$74,38,FALSE)</f>
        <v>0.24</v>
      </c>
      <c r="AO10" s="128">
        <f>VLOOKUP($AK10,'Major Lower Limb Amputation'!$A$7:$AM$74,37,FALSE)</f>
        <v>0.43999999999999995</v>
      </c>
      <c r="AP10" s="128">
        <v>1</v>
      </c>
    </row>
    <row r="11" spans="1:42" x14ac:dyDescent="0.25">
      <c r="AE11" s="213" t="s">
        <v>45</v>
      </c>
      <c r="AF11" s="213">
        <v>10</v>
      </c>
      <c r="AG11" s="128">
        <f>VLOOKUP($AE11,'Major Lower Limb Amputation'!$A$7:$AI$74,33,FALSE)</f>
        <v>5</v>
      </c>
      <c r="AH11" s="128">
        <f>VLOOKUP($AE11,'Major Lower Limb Amputation'!$A$7:$AI$74,34,FALSE)</f>
        <v>3</v>
      </c>
      <c r="AI11" s="128">
        <f>VLOOKUP($AE11,'Major Lower Limb Amputation'!$A$7:$AI$74,35,FALSE)</f>
        <v>5</v>
      </c>
      <c r="AK11" s="213" t="s">
        <v>3</v>
      </c>
      <c r="AL11" s="213">
        <v>10</v>
      </c>
      <c r="AM11" s="128">
        <f>VLOOKUP($AK11,'Major Lower Limb Amputation'!$A$7:$AM$74,9,FALSE)</f>
        <v>0.57999999999999996</v>
      </c>
      <c r="AN11" s="128">
        <f>VLOOKUP($AK11,'Major Lower Limb Amputation'!$A$7:$AM$74,38,FALSE)</f>
        <v>0.18999999999999995</v>
      </c>
      <c r="AO11" s="128">
        <f>VLOOKUP($AK11,'Major Lower Limb Amputation'!$A$7:$AM$74,37,FALSE)</f>
        <v>0.27</v>
      </c>
      <c r="AP11" s="128">
        <v>1</v>
      </c>
    </row>
    <row r="12" spans="1:42" x14ac:dyDescent="0.25">
      <c r="AE12" s="213" t="s">
        <v>2</v>
      </c>
      <c r="AF12" s="213">
        <v>11</v>
      </c>
      <c r="AG12" s="128">
        <f>VLOOKUP($AE12,'Major Lower Limb Amputation'!$A$7:$AI$74,33,FALSE)</f>
        <v>5</v>
      </c>
      <c r="AH12" s="128">
        <f>VLOOKUP($AE12,'Major Lower Limb Amputation'!$A$7:$AI$74,34,FALSE)</f>
        <v>3</v>
      </c>
      <c r="AI12" s="128">
        <f>VLOOKUP($AE12,'Major Lower Limb Amputation'!$A$7:$AI$74,35,FALSE)</f>
        <v>6</v>
      </c>
      <c r="AK12" s="213" t="s">
        <v>92</v>
      </c>
      <c r="AL12" s="213">
        <v>11</v>
      </c>
      <c r="AM12" s="128">
        <f>VLOOKUP($AK12,'Major Lower Limb Amputation'!$A$7:$AM$74,9,FALSE)</f>
        <v>0.6</v>
      </c>
      <c r="AN12" s="128">
        <f>VLOOKUP($AK12,'Major Lower Limb Amputation'!$A$7:$AM$74,38,FALSE)</f>
        <v>0.22999999999999998</v>
      </c>
      <c r="AO12" s="128">
        <f>VLOOKUP($AK12,'Major Lower Limb Amputation'!$A$7:$AM$74,37,FALSE)</f>
        <v>0.37</v>
      </c>
      <c r="AP12" s="128">
        <v>1</v>
      </c>
    </row>
    <row r="13" spans="1:42" x14ac:dyDescent="0.25">
      <c r="AE13" s="213" t="s">
        <v>49</v>
      </c>
      <c r="AF13" s="213">
        <v>12</v>
      </c>
      <c r="AG13" s="128">
        <f>VLOOKUP($AE13,'Major Lower Limb Amputation'!$A$7:$AI$74,33,FALSE)</f>
        <v>5</v>
      </c>
      <c r="AH13" s="128">
        <f>VLOOKUP($AE13,'Major Lower Limb Amputation'!$A$7:$AI$74,34,FALSE)</f>
        <v>3</v>
      </c>
      <c r="AI13" s="128">
        <f>VLOOKUP($AE13,'Major Lower Limb Amputation'!$A$7:$AI$74,35,FALSE)</f>
        <v>24</v>
      </c>
      <c r="AK13" s="213" t="s">
        <v>85</v>
      </c>
      <c r="AL13" s="213">
        <v>12</v>
      </c>
      <c r="AM13" s="128">
        <f>VLOOKUP($AK13,'Major Lower Limb Amputation'!$A$7:$AM$74,9,FALSE)</f>
        <v>0.6</v>
      </c>
      <c r="AN13" s="128">
        <f>VLOOKUP($AK13,'Major Lower Limb Amputation'!$A$7:$AM$74,38,FALSE)</f>
        <v>0.33999999999999997</v>
      </c>
      <c r="AO13" s="128">
        <f>VLOOKUP($AK13,'Major Lower Limb Amputation'!$A$7:$AM$74,37,FALSE)</f>
        <v>0.77000000000000013</v>
      </c>
      <c r="AP13" s="128">
        <v>1</v>
      </c>
    </row>
    <row r="14" spans="1:42" x14ac:dyDescent="0.25">
      <c r="AE14" s="213" t="s">
        <v>30</v>
      </c>
      <c r="AF14" s="213">
        <v>13</v>
      </c>
      <c r="AG14" s="128">
        <f>VLOOKUP($AE14,'Major Lower Limb Amputation'!$A$7:$AI$74,33,FALSE)</f>
        <v>6</v>
      </c>
      <c r="AH14" s="128">
        <f>VLOOKUP($AE14,'Major Lower Limb Amputation'!$A$7:$AI$74,34,FALSE)</f>
        <v>4</v>
      </c>
      <c r="AI14" s="128">
        <f>VLOOKUP($AE14,'Major Lower Limb Amputation'!$A$7:$AI$74,35,FALSE)</f>
        <v>15</v>
      </c>
      <c r="AK14" s="213" t="s">
        <v>105</v>
      </c>
      <c r="AL14" s="213">
        <v>13</v>
      </c>
      <c r="AM14" s="128">
        <f>VLOOKUP($AK14,'Major Lower Limb Amputation'!$A$7:$AM$74,9,FALSE)</f>
        <v>0.61</v>
      </c>
      <c r="AN14" s="128">
        <f>VLOOKUP($AK14,'Major Lower Limb Amputation'!$A$7:$AM$74,38,FALSE)</f>
        <v>0.27999999999999997</v>
      </c>
      <c r="AO14" s="128">
        <f>VLOOKUP($AK14,'Major Lower Limb Amputation'!$A$7:$AM$74,37,FALSE)</f>
        <v>0.50000000000000011</v>
      </c>
      <c r="AP14" s="128">
        <v>1</v>
      </c>
    </row>
    <row r="15" spans="1:42" x14ac:dyDescent="0.25">
      <c r="AE15" s="213" t="s">
        <v>51</v>
      </c>
      <c r="AF15" s="213">
        <v>14</v>
      </c>
      <c r="AG15" s="128">
        <f>VLOOKUP($AE15,'Major Lower Limb Amputation'!$A$7:$AI$74,33,FALSE)</f>
        <v>6</v>
      </c>
      <c r="AH15" s="128">
        <f>VLOOKUP($AE15,'Major Lower Limb Amputation'!$A$7:$AI$74,34,FALSE)</f>
        <v>5</v>
      </c>
      <c r="AI15" s="128">
        <f>VLOOKUP($AE15,'Major Lower Limb Amputation'!$A$7:$AI$74,35,FALSE)</f>
        <v>6</v>
      </c>
      <c r="AK15" s="213" t="s">
        <v>101</v>
      </c>
      <c r="AL15" s="213">
        <v>14</v>
      </c>
      <c r="AM15" s="128">
        <f>VLOOKUP($AK15,'Major Lower Limb Amputation'!$A$7:$AM$74,9,FALSE)</f>
        <v>0.67</v>
      </c>
      <c r="AN15" s="128">
        <f>VLOOKUP($AK15,'Major Lower Limb Amputation'!$A$7:$AM$74,38,FALSE)</f>
        <v>0.48000000000000004</v>
      </c>
      <c r="AO15" s="128">
        <f>VLOOKUP($AK15,'Major Lower Limb Amputation'!$A$7:$AM$74,37,FALSE)</f>
        <v>1.69</v>
      </c>
      <c r="AP15" s="128">
        <v>1</v>
      </c>
    </row>
    <row r="16" spans="1:42" x14ac:dyDescent="0.25">
      <c r="AE16" s="213" t="s">
        <v>85</v>
      </c>
      <c r="AF16" s="213">
        <v>15</v>
      </c>
      <c r="AG16" s="128">
        <f>VLOOKUP($AE16,'Major Lower Limb Amputation'!$A$7:$AI$74,33,FALSE)</f>
        <v>6</v>
      </c>
      <c r="AH16" s="128">
        <f>VLOOKUP($AE16,'Major Lower Limb Amputation'!$A$7:$AI$74,34,FALSE)</f>
        <v>5</v>
      </c>
      <c r="AI16" s="128">
        <f>VLOOKUP($AE16,'Major Lower Limb Amputation'!$A$7:$AI$74,35,FALSE)</f>
        <v>3</v>
      </c>
      <c r="AK16" s="213" t="s">
        <v>35</v>
      </c>
      <c r="AL16" s="213">
        <v>15</v>
      </c>
      <c r="AM16" s="128">
        <f>VLOOKUP($AK16,'Major Lower Limb Amputation'!$A$7:$AM$74,9,FALSE)</f>
        <v>0.67</v>
      </c>
      <c r="AN16" s="128">
        <f>VLOOKUP($AK16,'Major Lower Limb Amputation'!$A$7:$AM$74,38,FALSE)</f>
        <v>0.23000000000000004</v>
      </c>
      <c r="AO16" s="128">
        <f>VLOOKUP($AK16,'Major Lower Limb Amputation'!$A$7:$AM$74,37,FALSE)</f>
        <v>0.35</v>
      </c>
      <c r="AP16" s="128">
        <v>1</v>
      </c>
    </row>
    <row r="17" spans="2:42" x14ac:dyDescent="0.25">
      <c r="AE17" s="213" t="s">
        <v>77</v>
      </c>
      <c r="AF17" s="213">
        <v>16</v>
      </c>
      <c r="AG17" s="128">
        <f>VLOOKUP($AE17,'Major Lower Limb Amputation'!$A$7:$AI$74,33,FALSE)</f>
        <v>6</v>
      </c>
      <c r="AH17" s="128">
        <f>VLOOKUP($AE17,'Major Lower Limb Amputation'!$A$7:$AI$74,34,FALSE)</f>
        <v>1</v>
      </c>
      <c r="AI17" s="128">
        <f>VLOOKUP($AE17,'Major Lower Limb Amputation'!$A$7:$AI$74,35,FALSE)</f>
        <v>8</v>
      </c>
      <c r="AK17" s="213" t="s">
        <v>99</v>
      </c>
      <c r="AL17" s="213">
        <v>16</v>
      </c>
      <c r="AM17" s="128">
        <f>VLOOKUP($AK17,'Major Lower Limb Amputation'!$A$7:$AM$74,9,FALSE)</f>
        <v>0.71</v>
      </c>
      <c r="AN17" s="128">
        <f>VLOOKUP($AK17,'Major Lower Limb Amputation'!$A$7:$AM$74,38,FALSE)</f>
        <v>0.27999999999999997</v>
      </c>
      <c r="AO17" s="128">
        <f>VLOOKUP($AK17,'Major Lower Limb Amputation'!$A$7:$AM$74,37,FALSE)</f>
        <v>0.48</v>
      </c>
      <c r="AP17" s="128">
        <v>1</v>
      </c>
    </row>
    <row r="18" spans="2:42" x14ac:dyDescent="0.25">
      <c r="AE18" s="213" t="s">
        <v>37</v>
      </c>
      <c r="AF18" s="213">
        <v>17</v>
      </c>
      <c r="AG18" s="128">
        <f>VLOOKUP($AE18,'Major Lower Limb Amputation'!$A$7:$AI$74,33,FALSE)</f>
        <v>7</v>
      </c>
      <c r="AH18" s="128">
        <f>VLOOKUP($AE18,'Major Lower Limb Amputation'!$A$7:$AI$74,34,FALSE)</f>
        <v>5</v>
      </c>
      <c r="AI18" s="128">
        <f>VLOOKUP($AE18,'Major Lower Limb Amputation'!$A$7:$AI$74,35,FALSE)</f>
        <v>6</v>
      </c>
      <c r="AK18" s="213" t="s">
        <v>131</v>
      </c>
      <c r="AL18" s="213">
        <v>17</v>
      </c>
      <c r="AM18" s="128">
        <f>VLOOKUP($AK18,'Major Lower Limb Amputation'!$A$7:$AM$74,9,FALSE)</f>
        <v>0.71</v>
      </c>
      <c r="AN18" s="128">
        <f>VLOOKUP($AK18,'Major Lower Limb Amputation'!$A$7:$AM$74,38,FALSE)</f>
        <v>0.38999999999999996</v>
      </c>
      <c r="AO18" s="128">
        <f>VLOOKUP($AK18,'Major Lower Limb Amputation'!$A$7:$AM$74,37,FALSE)</f>
        <v>0.90000000000000013</v>
      </c>
      <c r="AP18" s="128">
        <v>1</v>
      </c>
    </row>
    <row r="19" spans="2:42" x14ac:dyDescent="0.25">
      <c r="AE19" s="213" t="s">
        <v>12</v>
      </c>
      <c r="AF19" s="213">
        <v>18</v>
      </c>
      <c r="AG19" s="128">
        <f>VLOOKUP($AE19,'Major Lower Limb Amputation'!$A$7:$AI$74,33,FALSE)</f>
        <v>7</v>
      </c>
      <c r="AH19" s="128">
        <f>VLOOKUP($AE19,'Major Lower Limb Amputation'!$A$7:$AI$74,34,FALSE)</f>
        <v>5</v>
      </c>
      <c r="AI19" s="128">
        <f>VLOOKUP($AE19,'Major Lower Limb Amputation'!$A$7:$AI$74,35,FALSE)</f>
        <v>5</v>
      </c>
      <c r="AK19" s="213" t="s">
        <v>336</v>
      </c>
      <c r="AL19" s="213">
        <v>18</v>
      </c>
      <c r="AM19" s="128">
        <f>VLOOKUP($AK19,'Major Lower Limb Amputation'!$A$7:$AM$74,9,FALSE)</f>
        <v>0.71</v>
      </c>
      <c r="AN19" s="128">
        <f>VLOOKUP($AK19,'Major Lower Limb Amputation'!$A$7:$AM$74,38,FALSE)</f>
        <v>0.48</v>
      </c>
      <c r="AO19" s="128">
        <f>VLOOKUP($AK19,'Major Lower Limb Amputation'!$A$7:$AM$74,37,FALSE)</f>
        <v>1.54</v>
      </c>
      <c r="AP19" s="128">
        <v>1</v>
      </c>
    </row>
    <row r="20" spans="2:42" x14ac:dyDescent="0.25">
      <c r="AE20" s="213" t="s">
        <v>131</v>
      </c>
      <c r="AF20" s="213">
        <v>19</v>
      </c>
      <c r="AG20" s="128">
        <f>VLOOKUP($AE20,'Major Lower Limb Amputation'!$A$7:$AI$74,33,FALSE)</f>
        <v>7</v>
      </c>
      <c r="AH20" s="128">
        <f>VLOOKUP($AE20,'Major Lower Limb Amputation'!$A$7:$AI$74,34,FALSE)</f>
        <v>4</v>
      </c>
      <c r="AI20" s="128">
        <f>VLOOKUP($AE20,'Major Lower Limb Amputation'!$A$7:$AI$74,35,FALSE)</f>
        <v>43</v>
      </c>
      <c r="AK20" s="213" t="s">
        <v>127</v>
      </c>
      <c r="AL20" s="213">
        <v>19</v>
      </c>
      <c r="AM20" s="128">
        <f>VLOOKUP($AK20,'Major Lower Limb Amputation'!$A$7:$AM$74,9,FALSE)</f>
        <v>0.73</v>
      </c>
      <c r="AN20" s="128">
        <f>VLOOKUP($AK20,'Major Lower Limb Amputation'!$A$7:$AM$74,38,FALSE)</f>
        <v>0.20999999999999996</v>
      </c>
      <c r="AO20" s="128">
        <f>VLOOKUP($AK20,'Major Lower Limb Amputation'!$A$7:$AM$74,37,FALSE)</f>
        <v>0.29000000000000004</v>
      </c>
      <c r="AP20" s="128">
        <v>1</v>
      </c>
    </row>
    <row r="21" spans="2:42" x14ac:dyDescent="0.25">
      <c r="AE21" s="213" t="s">
        <v>29</v>
      </c>
      <c r="AF21" s="213">
        <v>20</v>
      </c>
      <c r="AG21" s="128">
        <f>VLOOKUP($AE21,'Major Lower Limb Amputation'!$A$7:$AI$74,33,FALSE)</f>
        <v>7</v>
      </c>
      <c r="AH21" s="128">
        <f>VLOOKUP($AE21,'Major Lower Limb Amputation'!$A$7:$AI$74,34,FALSE)</f>
        <v>4</v>
      </c>
      <c r="AI21" s="128">
        <f>VLOOKUP($AE21,'Major Lower Limb Amputation'!$A$7:$AI$74,35,FALSE)</f>
        <v>10</v>
      </c>
      <c r="AK21" s="213" t="s">
        <v>137</v>
      </c>
      <c r="AL21" s="213">
        <v>20</v>
      </c>
      <c r="AM21" s="128">
        <f>VLOOKUP($AK21,'Major Lower Limb Amputation'!$A$7:$AM$74,9,FALSE)</f>
        <v>0.77</v>
      </c>
      <c r="AN21" s="128">
        <f>VLOOKUP($AK21,'Major Lower Limb Amputation'!$A$7:$AM$74,38,FALSE)</f>
        <v>0.21999999999999997</v>
      </c>
      <c r="AO21" s="128">
        <f>VLOOKUP($AK21,'Major Lower Limb Amputation'!$A$7:$AM$74,37,FALSE)</f>
        <v>0.32000000000000006</v>
      </c>
      <c r="AP21" s="128">
        <v>1</v>
      </c>
    </row>
    <row r="22" spans="2:42" x14ac:dyDescent="0.25">
      <c r="AE22" s="213" t="s">
        <v>15</v>
      </c>
      <c r="AF22" s="213">
        <v>21</v>
      </c>
      <c r="AG22" s="128">
        <f>VLOOKUP($AE22,'Major Lower Limb Amputation'!$A$7:$AI$74,33,FALSE)</f>
        <v>7</v>
      </c>
      <c r="AH22" s="128">
        <f>VLOOKUP($AE22,'Major Lower Limb Amputation'!$A$7:$AI$74,34,FALSE)</f>
        <v>5</v>
      </c>
      <c r="AI22" s="128">
        <f>VLOOKUP($AE22,'Major Lower Limb Amputation'!$A$7:$AI$74,35,FALSE)</f>
        <v>7</v>
      </c>
      <c r="AK22" s="213" t="s">
        <v>47</v>
      </c>
      <c r="AL22" s="213">
        <v>21</v>
      </c>
      <c r="AM22" s="128">
        <f>VLOOKUP($AK22,'Major Lower Limb Amputation'!$A$7:$AM$74,9,FALSE)</f>
        <v>0.78</v>
      </c>
      <c r="AN22" s="128">
        <f>VLOOKUP($AK22,'Major Lower Limb Amputation'!$A$7:$AM$74,38,FALSE)</f>
        <v>0.49000000000000005</v>
      </c>
      <c r="AO22" s="128">
        <f>VLOOKUP($AK22,'Major Lower Limb Amputation'!$A$7:$AM$74,37,FALSE)</f>
        <v>1.3099999999999998</v>
      </c>
      <c r="AP22" s="128">
        <v>1</v>
      </c>
    </row>
    <row r="23" spans="2:42" x14ac:dyDescent="0.25">
      <c r="AE23" s="213" t="s">
        <v>348</v>
      </c>
      <c r="AF23" s="213">
        <v>22</v>
      </c>
      <c r="AG23" s="128">
        <f>VLOOKUP($AE23,'Major Lower Limb Amputation'!$A$7:$AI$74,33,FALSE)</f>
        <v>7</v>
      </c>
      <c r="AH23" s="128">
        <f>VLOOKUP($AE23,'Major Lower Limb Amputation'!$A$7:$AI$74,34,FALSE)</f>
        <v>6</v>
      </c>
      <c r="AI23" s="128">
        <f>VLOOKUP($AE23,'Major Lower Limb Amputation'!$A$7:$AI$74,35,FALSE)</f>
        <v>5</v>
      </c>
      <c r="AK23" s="213" t="s">
        <v>77</v>
      </c>
      <c r="AL23" s="213">
        <v>22</v>
      </c>
      <c r="AM23" s="128">
        <f>VLOOKUP($AK23,'Major Lower Limb Amputation'!$A$7:$AM$74,9,FALSE)</f>
        <v>0.78</v>
      </c>
      <c r="AN23" s="128">
        <f>VLOOKUP($AK23,'Major Lower Limb Amputation'!$A$7:$AM$74,38,FALSE)</f>
        <v>0.21000000000000008</v>
      </c>
      <c r="AO23" s="128">
        <f>VLOOKUP($AK23,'Major Lower Limb Amputation'!$A$7:$AM$74,37,FALSE)</f>
        <v>0.28000000000000003</v>
      </c>
      <c r="AP23" s="128">
        <v>1</v>
      </c>
    </row>
    <row r="24" spans="2:42" x14ac:dyDescent="0.25">
      <c r="AE24" s="213" t="s">
        <v>35</v>
      </c>
      <c r="AF24" s="213">
        <v>23</v>
      </c>
      <c r="AG24" s="128">
        <f>VLOOKUP($AE24,'Major Lower Limb Amputation'!$A$7:$AI$74,33,FALSE)</f>
        <v>7</v>
      </c>
      <c r="AH24" s="128">
        <f>VLOOKUP($AE24,'Major Lower Limb Amputation'!$A$7:$AI$74,34,FALSE)</f>
        <v>5</v>
      </c>
      <c r="AI24" s="128">
        <f>VLOOKUP($AE24,'Major Lower Limb Amputation'!$A$7:$AI$74,35,FALSE)</f>
        <v>5</v>
      </c>
      <c r="AK24" s="213" t="s">
        <v>56</v>
      </c>
      <c r="AL24" s="213">
        <v>23</v>
      </c>
      <c r="AM24" s="128">
        <f>VLOOKUP($AK24,'Major Lower Limb Amputation'!$A$7:$AM$74,9,FALSE)</f>
        <v>0.8</v>
      </c>
      <c r="AN24" s="128">
        <f>VLOOKUP($AK24,'Major Lower Limb Amputation'!$A$7:$AM$74,38,FALSE)</f>
        <v>0.48000000000000004</v>
      </c>
      <c r="AO24" s="128">
        <f>VLOOKUP($AK24,'Major Lower Limb Amputation'!$A$7:$AM$74,37,FALSE)</f>
        <v>1.2299999999999998</v>
      </c>
      <c r="AP24" s="128">
        <v>1</v>
      </c>
    </row>
    <row r="25" spans="2:42" x14ac:dyDescent="0.25">
      <c r="AE25" s="213" t="s">
        <v>25</v>
      </c>
      <c r="AF25" s="213">
        <v>24</v>
      </c>
      <c r="AG25" s="128">
        <f>VLOOKUP($AE25,'Major Lower Limb Amputation'!$A$7:$AI$74,33,FALSE)</f>
        <v>7</v>
      </c>
      <c r="AH25" s="128">
        <f>VLOOKUP($AE25,'Major Lower Limb Amputation'!$A$7:$AI$74,34,FALSE)</f>
        <v>4</v>
      </c>
      <c r="AI25" s="128">
        <f>VLOOKUP($AE25,'Major Lower Limb Amputation'!$A$7:$AI$74,35,FALSE)</f>
        <v>13</v>
      </c>
      <c r="AK25" s="213" t="s">
        <v>109</v>
      </c>
      <c r="AL25" s="213">
        <v>24</v>
      </c>
      <c r="AM25" s="128">
        <f>VLOOKUP($AK25,'Major Lower Limb Amputation'!$A$7:$AM$74,9,FALSE)</f>
        <v>0.82</v>
      </c>
      <c r="AN25" s="128">
        <f>VLOOKUP($AK25,'Major Lower Limb Amputation'!$A$7:$AM$74,38,FALSE)</f>
        <v>0.27999999999999992</v>
      </c>
      <c r="AO25" s="128">
        <f>VLOOKUP($AK25,'Major Lower Limb Amputation'!$A$7:$AM$74,37,FALSE)</f>
        <v>0.42000000000000004</v>
      </c>
      <c r="AP25" s="128">
        <v>1</v>
      </c>
    </row>
    <row r="26" spans="2:42" x14ac:dyDescent="0.25">
      <c r="AE26" s="213" t="s">
        <v>92</v>
      </c>
      <c r="AF26" s="213">
        <v>25</v>
      </c>
      <c r="AG26" s="128">
        <f>VLOOKUP($AE26,'Major Lower Limb Amputation'!$A$7:$AI$74,33,FALSE)</f>
        <v>7</v>
      </c>
      <c r="AH26" s="128">
        <f>VLOOKUP($AE26,'Major Lower Limb Amputation'!$A$7:$AI$74,34,FALSE)</f>
        <v>4</v>
      </c>
      <c r="AI26" s="128">
        <f>VLOOKUP($AE26,'Major Lower Limb Amputation'!$A$7:$AI$74,35,FALSE)</f>
        <v>9</v>
      </c>
      <c r="AK26" s="213" t="s">
        <v>90</v>
      </c>
      <c r="AL26" s="213">
        <v>25</v>
      </c>
      <c r="AM26" s="128">
        <f>VLOOKUP($AK26,'Major Lower Limb Amputation'!$A$7:$AM$74,9,FALSE)</f>
        <v>0.82</v>
      </c>
      <c r="AN26" s="128">
        <f>VLOOKUP($AK26,'Major Lower Limb Amputation'!$A$7:$AM$74,38,FALSE)</f>
        <v>0.31999999999999995</v>
      </c>
      <c r="AO26" s="128">
        <f>VLOOKUP($AK26,'Major Lower Limb Amputation'!$A$7:$AM$74,37,FALSE)</f>
        <v>0.54000000000000015</v>
      </c>
      <c r="AP26" s="128">
        <v>1</v>
      </c>
    </row>
    <row r="27" spans="2:42" ht="15.75" thickBot="1" x14ac:dyDescent="0.3">
      <c r="AE27" s="213" t="s">
        <v>39</v>
      </c>
      <c r="AF27" s="213">
        <v>26</v>
      </c>
      <c r="AG27" s="128">
        <f>VLOOKUP($AE27,'Major Lower Limb Amputation'!$A$7:$AI$74,33,FALSE)</f>
        <v>8</v>
      </c>
      <c r="AH27" s="128">
        <f>VLOOKUP($AE27,'Major Lower Limb Amputation'!$A$7:$AI$74,34,FALSE)</f>
        <v>5</v>
      </c>
      <c r="AI27" s="128">
        <f>VLOOKUP($AE27,'Major Lower Limb Amputation'!$A$7:$AI$74,35,FALSE)</f>
        <v>13</v>
      </c>
      <c r="AK27" s="213" t="s">
        <v>55</v>
      </c>
      <c r="AL27" s="213">
        <v>26</v>
      </c>
      <c r="AM27" s="128">
        <f>VLOOKUP($AK27,'Major Lower Limb Amputation'!$A$7:$AM$74,9,FALSE)</f>
        <v>0.83</v>
      </c>
      <c r="AN27" s="128">
        <f>VLOOKUP($AK27,'Major Lower Limb Amputation'!$A$7:$AM$74,38,FALSE)</f>
        <v>0.47</v>
      </c>
      <c r="AO27" s="128">
        <f>VLOOKUP($AK27,'Major Lower Limb Amputation'!$A$7:$AM$74,37,FALSE)</f>
        <v>1.1000000000000001</v>
      </c>
      <c r="AP27" s="128">
        <v>1</v>
      </c>
    </row>
    <row r="28" spans="2:42" ht="90.75" thickBot="1" x14ac:dyDescent="0.3">
      <c r="B28" s="14" t="s">
        <v>139</v>
      </c>
      <c r="C28" s="14" t="s">
        <v>140</v>
      </c>
      <c r="D28" s="15" t="s">
        <v>739</v>
      </c>
      <c r="E28" s="36" t="s">
        <v>740</v>
      </c>
      <c r="F28" s="14" t="s">
        <v>741</v>
      </c>
      <c r="G28" s="15" t="s">
        <v>742</v>
      </c>
      <c r="H28" s="15" t="s">
        <v>743</v>
      </c>
      <c r="I28" s="37" t="s">
        <v>744</v>
      </c>
      <c r="J28" s="15" t="s">
        <v>745</v>
      </c>
      <c r="AE28" s="213" t="s">
        <v>83</v>
      </c>
      <c r="AF28" s="213">
        <v>27</v>
      </c>
      <c r="AG28" s="128">
        <f>VLOOKUP($AE28,'Major Lower Limb Amputation'!$A$7:$AI$74,33,FALSE)</f>
        <v>8</v>
      </c>
      <c r="AH28" s="128">
        <f>VLOOKUP($AE28,'Major Lower Limb Amputation'!$A$7:$AI$74,34,FALSE)</f>
        <v>4</v>
      </c>
      <c r="AI28" s="128">
        <f>VLOOKUP($AE28,'Major Lower Limb Amputation'!$A$7:$AI$74,35,FALSE)</f>
        <v>10</v>
      </c>
      <c r="AK28" s="213" t="s">
        <v>29</v>
      </c>
      <c r="AL28" s="213">
        <v>27</v>
      </c>
      <c r="AM28" s="128">
        <f>VLOOKUP($AK28,'Major Lower Limb Amputation'!$A$7:$AM$74,9,FALSE)</f>
        <v>0.87</v>
      </c>
      <c r="AN28" s="128">
        <f>VLOOKUP($AK28,'Major Lower Limb Amputation'!$A$7:$AM$74,38,FALSE)</f>
        <v>0.32999999999999996</v>
      </c>
      <c r="AO28" s="128">
        <f>VLOOKUP($AK28,'Major Lower Limb Amputation'!$A$7:$AM$74,37,FALSE)</f>
        <v>0.5099999999999999</v>
      </c>
      <c r="AP28" s="128">
        <v>1</v>
      </c>
    </row>
    <row r="29" spans="2:42" ht="15.75" thickBot="1" x14ac:dyDescent="0.3">
      <c r="B29" s="16" t="str">
        <f>B1</f>
        <v>Barking, Havering and Redbridge University Hospitals NHS Trust</v>
      </c>
      <c r="C29" s="103" t="str">
        <f>VLOOKUP($B29,'Major Lower Limb Amputation'!$B:$Y,20,FALSE)</f>
        <v>RF4</v>
      </c>
      <c r="D29" s="103">
        <f>VLOOKUP($B29,'Major Lower Limb Amputation'!$B:$Y,2,FALSE)</f>
        <v>28</v>
      </c>
      <c r="E29" s="104" t="str">
        <f>VLOOKUP($B29,'Major Lower Limb Amputation'!$B:$Y,4,FALSE)</f>
        <v>6 (2 - 21)</v>
      </c>
      <c r="F29" s="104" t="str">
        <f>VLOOKUP($B29,'Major Lower Limb Amputation'!$B:$Y,11,FALSE)</f>
        <v>35 (22 - 57)</v>
      </c>
      <c r="G29" s="105">
        <f>VLOOKUP($B29,'Major Lower Limb Amputation'!$B:$Y,8,FALSE)</f>
        <v>3.67</v>
      </c>
      <c r="H29" s="106">
        <f>VLOOKUP($B29,'Major Lower Limb Amputation'!$B:$Y,17,FALSE)</f>
        <v>0.64</v>
      </c>
      <c r="I29" s="106">
        <f>VLOOKUP($B29,'Major Lower Limb Amputation'!$B:$Y,18,FALSE)</f>
        <v>0.11</v>
      </c>
      <c r="J29" s="107">
        <f>VLOOKUP($B29,'Major Lower Limb Amputation'!$B:$Y,19,FALSE)</f>
        <v>0.108</v>
      </c>
      <c r="AE29" s="213" t="s">
        <v>64</v>
      </c>
      <c r="AF29" s="213">
        <v>28</v>
      </c>
      <c r="AG29" s="128">
        <f>VLOOKUP($AE29,'Major Lower Limb Amputation'!$A$7:$AI$74,33,FALSE)</f>
        <v>8</v>
      </c>
      <c r="AH29" s="128">
        <f>VLOOKUP($AE29,'Major Lower Limb Amputation'!$A$7:$AI$74,34,FALSE)</f>
        <v>6</v>
      </c>
      <c r="AI29" s="128">
        <f>VLOOKUP($AE29,'Major Lower Limb Amputation'!$A$7:$AI$74,35,FALSE)</f>
        <v>22</v>
      </c>
      <c r="AK29" s="213" t="s">
        <v>75</v>
      </c>
      <c r="AL29" s="213">
        <v>28</v>
      </c>
      <c r="AM29" s="128">
        <f>VLOOKUP($AK29,'Major Lower Limb Amputation'!$A$7:$AM$74,9,FALSE)</f>
        <v>0.89</v>
      </c>
      <c r="AN29" s="128">
        <f>VLOOKUP($AK29,'Major Lower Limb Amputation'!$A$7:$AM$74,38,FALSE)</f>
        <v>0.32999999999999996</v>
      </c>
      <c r="AO29" s="128">
        <f>VLOOKUP($AK29,'Major Lower Limb Amputation'!$A$7:$AM$74,37,FALSE)</f>
        <v>0.52999999999999992</v>
      </c>
      <c r="AP29" s="128">
        <v>1</v>
      </c>
    </row>
    <row r="30" spans="2:42" ht="15.75" thickBot="1" x14ac:dyDescent="0.3">
      <c r="B30" s="241" t="s">
        <v>230</v>
      </c>
      <c r="C30" s="241"/>
      <c r="D30" s="61">
        <v>3505</v>
      </c>
      <c r="E30" s="53" t="s">
        <v>746</v>
      </c>
      <c r="F30" s="53" t="s">
        <v>747</v>
      </c>
      <c r="G30" s="87">
        <v>0.89</v>
      </c>
      <c r="H30" s="78">
        <v>0.74</v>
      </c>
      <c r="I30" s="79">
        <v>0.9</v>
      </c>
      <c r="J30" s="54">
        <v>6.5000000000000002E-2</v>
      </c>
      <c r="AE30" s="213" t="s">
        <v>24</v>
      </c>
      <c r="AF30" s="213">
        <v>29</v>
      </c>
      <c r="AG30" s="128">
        <f>VLOOKUP($AE30,'Major Lower Limb Amputation'!$A$7:$AI$74,33,FALSE)</f>
        <v>8</v>
      </c>
      <c r="AH30" s="128">
        <f>VLOOKUP($AE30,'Major Lower Limb Amputation'!$A$7:$AI$74,34,FALSE)</f>
        <v>6</v>
      </c>
      <c r="AI30" s="128">
        <f>VLOOKUP($AE30,'Major Lower Limb Amputation'!$A$7:$AI$74,35,FALSE)</f>
        <v>8</v>
      </c>
      <c r="AK30" s="213" t="s">
        <v>333</v>
      </c>
      <c r="AL30" s="213">
        <v>29</v>
      </c>
      <c r="AM30" s="128">
        <f>VLOOKUP($AK30,'Major Lower Limb Amputation'!$A$7:$AM$74,9,FALSE)</f>
        <v>0.91</v>
      </c>
      <c r="AN30" s="128">
        <f>VLOOKUP($AK30,'Major Lower Limb Amputation'!$A$7:$AM$74,38,FALSE)</f>
        <v>0.27</v>
      </c>
      <c r="AO30" s="128">
        <f>VLOOKUP($AK30,'Major Lower Limb Amputation'!$A$7:$AM$74,37,FALSE)</f>
        <v>0.38</v>
      </c>
      <c r="AP30" s="128">
        <v>1</v>
      </c>
    </row>
    <row r="31" spans="2:42" x14ac:dyDescent="0.25">
      <c r="AE31" s="213" t="s">
        <v>109</v>
      </c>
      <c r="AF31" s="213">
        <v>30</v>
      </c>
      <c r="AG31" s="128">
        <f>VLOOKUP($AE31,'Major Lower Limb Amputation'!$A$7:$AI$74,33,FALSE)</f>
        <v>8</v>
      </c>
      <c r="AH31" s="128">
        <f>VLOOKUP($AE31,'Major Lower Limb Amputation'!$A$7:$AI$74,34,FALSE)</f>
        <v>4</v>
      </c>
      <c r="AI31" s="128">
        <f>VLOOKUP($AE31,'Major Lower Limb Amputation'!$A$7:$AI$74,35,FALSE)</f>
        <v>11</v>
      </c>
      <c r="AK31" s="213" t="s">
        <v>429</v>
      </c>
      <c r="AL31" s="213">
        <v>30</v>
      </c>
      <c r="AM31" s="128">
        <f>VLOOKUP($AK31,'Major Lower Limb Amputation'!$A$7:$AM$74,9,FALSE)</f>
        <v>0.91</v>
      </c>
      <c r="AN31" s="128">
        <f>VLOOKUP($AK31,'Major Lower Limb Amputation'!$A$7:$AM$74,38,FALSE)</f>
        <v>0.36</v>
      </c>
      <c r="AO31" s="128">
        <f>VLOOKUP($AK31,'Major Lower Limb Amputation'!$A$7:$AM$74,37,FALSE)</f>
        <v>0.57999999999999996</v>
      </c>
      <c r="AP31" s="128">
        <v>1</v>
      </c>
    </row>
    <row r="32" spans="2:42" ht="15.75" x14ac:dyDescent="0.25">
      <c r="J32" s="80" t="s">
        <v>252</v>
      </c>
      <c r="K32" s="244" t="s">
        <v>757</v>
      </c>
      <c r="L32" s="244"/>
      <c r="M32" s="244"/>
      <c r="N32" s="244"/>
      <c r="O32" s="244"/>
      <c r="AE32" s="213" t="s">
        <v>333</v>
      </c>
      <c r="AF32" s="213">
        <v>31</v>
      </c>
      <c r="AG32" s="128">
        <f>VLOOKUP($AE32,'Major Lower Limb Amputation'!$A$7:$AI$74,33,FALSE)</f>
        <v>8</v>
      </c>
      <c r="AH32" s="128">
        <f>VLOOKUP($AE32,'Major Lower Limb Amputation'!$A$7:$AI$74,34,FALSE)</f>
        <v>6</v>
      </c>
      <c r="AI32" s="128">
        <f>VLOOKUP($AE32,'Major Lower Limb Amputation'!$A$7:$AI$74,35,FALSE)</f>
        <v>12</v>
      </c>
      <c r="AK32" s="213" t="s">
        <v>17</v>
      </c>
      <c r="AL32" s="213">
        <v>31</v>
      </c>
      <c r="AM32" s="128">
        <f>VLOOKUP($AK32,'Major Lower Limb Amputation'!$A$7:$AM$74,9,FALSE)</f>
        <v>0.96</v>
      </c>
      <c r="AN32" s="128">
        <f>VLOOKUP($AK32,'Major Lower Limb Amputation'!$A$7:$AM$74,38,FALSE)</f>
        <v>0.31999999999999995</v>
      </c>
      <c r="AO32" s="128">
        <f>VLOOKUP($AK32,'Major Lower Limb Amputation'!$A$7:$AM$74,37,FALSE)</f>
        <v>0.47</v>
      </c>
      <c r="AP32" s="128">
        <v>1</v>
      </c>
    </row>
    <row r="33" spans="17:42" x14ac:dyDescent="0.25">
      <c r="Q33" s="128">
        <f>MATCH(K32,'Major Lower Limb Amputation'!$R$7:$S$7,0)</f>
        <v>1</v>
      </c>
      <c r="AE33" s="213" t="s">
        <v>96</v>
      </c>
      <c r="AF33" s="213">
        <v>32</v>
      </c>
      <c r="AG33" s="128">
        <f>VLOOKUP($AE33,'Major Lower Limb Amputation'!$A$7:$AI$74,33,FALSE)</f>
        <v>8</v>
      </c>
      <c r="AH33" s="128">
        <f>VLOOKUP($AE33,'Major Lower Limb Amputation'!$A$7:$AI$74,34,FALSE)</f>
        <v>4</v>
      </c>
      <c r="AI33" s="128">
        <f>VLOOKUP($AE33,'Major Lower Limb Amputation'!$A$7:$AI$74,35,FALSE)</f>
        <v>35</v>
      </c>
      <c r="AK33" s="213" t="s">
        <v>49</v>
      </c>
      <c r="AL33" s="213">
        <v>32</v>
      </c>
      <c r="AM33" s="128">
        <f>VLOOKUP($AK33,'Major Lower Limb Amputation'!$A$7:$AM$74,9,FALSE)</f>
        <v>0.96</v>
      </c>
      <c r="AN33" s="128">
        <f>VLOOKUP($AK33,'Major Lower Limb Amputation'!$A$7:$AM$74,38,FALSE)</f>
        <v>0.30999999999999994</v>
      </c>
      <c r="AO33" s="128">
        <f>VLOOKUP($AK33,'Major Lower Limb Amputation'!$A$7:$AM$74,37,FALSE)</f>
        <v>0.47</v>
      </c>
      <c r="AP33" s="128">
        <v>1</v>
      </c>
    </row>
    <row r="34" spans="17:42" x14ac:dyDescent="0.25">
      <c r="AE34" s="213" t="s">
        <v>10</v>
      </c>
      <c r="AF34" s="213">
        <v>33</v>
      </c>
      <c r="AG34" s="128">
        <f>VLOOKUP($AE34,'Major Lower Limb Amputation'!$A$7:$AI$74,33,FALSE)</f>
        <v>8</v>
      </c>
      <c r="AH34" s="128">
        <f>VLOOKUP($AE34,'Major Lower Limb Amputation'!$A$7:$AI$74,34,FALSE)</f>
        <v>6</v>
      </c>
      <c r="AI34" s="128">
        <f>VLOOKUP($AE34,'Major Lower Limb Amputation'!$A$7:$AI$74,35,FALSE)</f>
        <v>10</v>
      </c>
      <c r="AK34" s="213" t="s">
        <v>417</v>
      </c>
      <c r="AL34" s="213">
        <v>33</v>
      </c>
      <c r="AM34" s="128">
        <f>VLOOKUP($AK34,'Major Lower Limb Amputation'!$A$7:$AM$74,9,FALSE)</f>
        <v>1</v>
      </c>
      <c r="AN34" s="128">
        <f>VLOOKUP($AK34,'Major Lower Limb Amputation'!$A$7:$AM$74,38,FALSE)</f>
        <v>0.43999999999999995</v>
      </c>
      <c r="AO34" s="128">
        <f>VLOOKUP($AK34,'Major Lower Limb Amputation'!$A$7:$AM$74,37,FALSE)</f>
        <v>0.78</v>
      </c>
      <c r="AP34" s="128">
        <v>1</v>
      </c>
    </row>
    <row r="35" spans="17:42" x14ac:dyDescent="0.25">
      <c r="AE35" s="213" t="s">
        <v>105</v>
      </c>
      <c r="AF35" s="213">
        <v>34</v>
      </c>
      <c r="AG35" s="128">
        <f>VLOOKUP($AE35,'Major Lower Limb Amputation'!$A$7:$AI$74,33,FALSE)</f>
        <v>8</v>
      </c>
      <c r="AH35" s="128">
        <f>VLOOKUP($AE35,'Major Lower Limb Amputation'!$A$7:$AI$74,34,FALSE)</f>
        <v>5</v>
      </c>
      <c r="AI35" s="128">
        <f>VLOOKUP($AE35,'Major Lower Limb Amputation'!$A$7:$AI$74,35,FALSE)</f>
        <v>8</v>
      </c>
      <c r="AK35" s="213" t="s">
        <v>360</v>
      </c>
      <c r="AL35" s="213">
        <v>34</v>
      </c>
      <c r="AM35" s="128">
        <f>VLOOKUP($AK35,'Major Lower Limb Amputation'!$A$7:$AM$74,9,FALSE)</f>
        <v>1.02</v>
      </c>
      <c r="AN35" s="128">
        <f>VLOOKUP($AK35,'Major Lower Limb Amputation'!$A$7:$AM$74,38,FALSE)</f>
        <v>0.33000000000000007</v>
      </c>
      <c r="AO35" s="128">
        <f>VLOOKUP($AK35,'Major Lower Limb Amputation'!$A$7:$AM$74,37,FALSE)</f>
        <v>0.49</v>
      </c>
      <c r="AP35" s="128">
        <v>1</v>
      </c>
    </row>
    <row r="36" spans="17:42" x14ac:dyDescent="0.25">
      <c r="AE36" s="213" t="s">
        <v>360</v>
      </c>
      <c r="AF36" s="213">
        <v>35</v>
      </c>
      <c r="AG36" s="128">
        <f>VLOOKUP($AE36,'Major Lower Limb Amputation'!$A$7:$AI$74,33,FALSE)</f>
        <v>8</v>
      </c>
      <c r="AH36" s="128">
        <f>VLOOKUP($AE36,'Major Lower Limb Amputation'!$A$7:$AI$74,34,FALSE)</f>
        <v>5</v>
      </c>
      <c r="AI36" s="128">
        <f>VLOOKUP($AE36,'Major Lower Limb Amputation'!$A$7:$AI$74,35,FALSE)</f>
        <v>24</v>
      </c>
      <c r="AK36" s="213" t="s">
        <v>24</v>
      </c>
      <c r="AL36" s="213">
        <v>35</v>
      </c>
      <c r="AM36" s="128">
        <f>VLOOKUP($AK36,'Major Lower Limb Amputation'!$A$7:$AM$74,9,FALSE)</f>
        <v>1.04</v>
      </c>
      <c r="AN36" s="128">
        <f>VLOOKUP($AK36,'Major Lower Limb Amputation'!$A$7:$AM$74,38,FALSE)</f>
        <v>0.43000000000000005</v>
      </c>
      <c r="AO36" s="128">
        <f>VLOOKUP($AK36,'Major Lower Limb Amputation'!$A$7:$AM$74,37,FALSE)</f>
        <v>0.74</v>
      </c>
      <c r="AP36" s="128">
        <v>1</v>
      </c>
    </row>
    <row r="37" spans="17:42" x14ac:dyDescent="0.25">
      <c r="AE37" s="213" t="s">
        <v>99</v>
      </c>
      <c r="AF37" s="213">
        <v>36</v>
      </c>
      <c r="AG37" s="128">
        <f>VLOOKUP($AE37,'Major Lower Limb Amputation'!$A$7:$AI$74,33,FALSE)</f>
        <v>9</v>
      </c>
      <c r="AH37" s="128">
        <f>VLOOKUP($AE37,'Major Lower Limb Amputation'!$A$7:$AI$74,34,FALSE)</f>
        <v>7</v>
      </c>
      <c r="AI37" s="128">
        <f>VLOOKUP($AE37,'Major Lower Limb Amputation'!$A$7:$AI$74,35,FALSE)</f>
        <v>14</v>
      </c>
      <c r="AK37" s="213" t="s">
        <v>25</v>
      </c>
      <c r="AL37" s="213">
        <v>36</v>
      </c>
      <c r="AM37" s="128">
        <f>VLOOKUP($AK37,'Major Lower Limb Amputation'!$A$7:$AM$74,9,FALSE)</f>
        <v>1.08</v>
      </c>
      <c r="AN37" s="128">
        <f>VLOOKUP($AK37,'Major Lower Limb Amputation'!$A$7:$AM$74,38,FALSE)</f>
        <v>0.45000000000000007</v>
      </c>
      <c r="AO37" s="128">
        <f>VLOOKUP($AK37,'Major Lower Limb Amputation'!$A$7:$AM$74,37,FALSE)</f>
        <v>0.78</v>
      </c>
      <c r="AP37" s="128">
        <v>1</v>
      </c>
    </row>
    <row r="38" spans="17:42" x14ac:dyDescent="0.25">
      <c r="AE38" s="213" t="s">
        <v>90</v>
      </c>
      <c r="AF38" s="213">
        <v>37</v>
      </c>
      <c r="AG38" s="128">
        <f>VLOOKUP($AE38,'Major Lower Limb Amputation'!$A$7:$AI$74,33,FALSE)</f>
        <v>9</v>
      </c>
      <c r="AH38" s="128">
        <f>VLOOKUP($AE38,'Major Lower Limb Amputation'!$A$7:$AI$74,34,FALSE)</f>
        <v>5</v>
      </c>
      <c r="AI38" s="128">
        <f>VLOOKUP($AE38,'Major Lower Limb Amputation'!$A$7:$AI$74,35,FALSE)</f>
        <v>8</v>
      </c>
      <c r="AK38" s="213" t="s">
        <v>37</v>
      </c>
      <c r="AL38" s="213">
        <v>37</v>
      </c>
      <c r="AM38" s="128">
        <f>VLOOKUP($AK38,'Major Lower Limb Amputation'!$A$7:$AM$74,9,FALSE)</f>
        <v>1.08</v>
      </c>
      <c r="AN38" s="128">
        <f>VLOOKUP($AK38,'Major Lower Limb Amputation'!$A$7:$AM$74,38,FALSE)</f>
        <v>0.46000000000000008</v>
      </c>
      <c r="AO38" s="128">
        <f>VLOOKUP($AK38,'Major Lower Limb Amputation'!$A$7:$AM$74,37,FALSE)</f>
        <v>0.80999999999999983</v>
      </c>
      <c r="AP38" s="128">
        <v>1</v>
      </c>
    </row>
    <row r="39" spans="17:42" x14ac:dyDescent="0.25">
      <c r="AE39" s="213" t="s">
        <v>417</v>
      </c>
      <c r="AF39" s="213">
        <v>38</v>
      </c>
      <c r="AG39" s="128">
        <f>VLOOKUP($AE39,'Major Lower Limb Amputation'!$A$7:$AI$74,33,FALSE)</f>
        <v>9</v>
      </c>
      <c r="AH39" s="128">
        <f>VLOOKUP($AE39,'Major Lower Limb Amputation'!$A$7:$AI$74,34,FALSE)</f>
        <v>7</v>
      </c>
      <c r="AI39" s="128">
        <f>VLOOKUP($AE39,'Major Lower Limb Amputation'!$A$7:$AI$74,35,FALSE)</f>
        <v>9</v>
      </c>
      <c r="AK39" s="213" t="s">
        <v>113</v>
      </c>
      <c r="AL39" s="213">
        <v>38</v>
      </c>
      <c r="AM39" s="128">
        <f>VLOOKUP($AK39,'Major Lower Limb Amputation'!$A$7:$AM$74,9,FALSE)</f>
        <v>1.0900000000000001</v>
      </c>
      <c r="AN39" s="128">
        <f>VLOOKUP($AK39,'Major Lower Limb Amputation'!$A$7:$AM$74,38,FALSE)</f>
        <v>0.33000000000000007</v>
      </c>
      <c r="AO39" s="128">
        <f>VLOOKUP($AK39,'Major Lower Limb Amputation'!$A$7:$AM$74,37,FALSE)</f>
        <v>0.45999999999999996</v>
      </c>
      <c r="AP39" s="128">
        <v>1</v>
      </c>
    </row>
    <row r="40" spans="17:42" x14ac:dyDescent="0.25">
      <c r="AE40" s="213" t="s">
        <v>3</v>
      </c>
      <c r="AF40" s="213">
        <v>39</v>
      </c>
      <c r="AG40" s="128">
        <f>VLOOKUP($AE40,'Major Lower Limb Amputation'!$A$7:$AI$74,33,FALSE)</f>
        <v>10</v>
      </c>
      <c r="AH40" s="128">
        <f>VLOOKUP($AE40,'Major Lower Limb Amputation'!$A$7:$AI$74,34,FALSE)</f>
        <v>7</v>
      </c>
      <c r="AI40" s="128">
        <f>VLOOKUP($AE40,'Major Lower Limb Amputation'!$A$7:$AI$74,35,FALSE)</f>
        <v>11</v>
      </c>
      <c r="AK40" s="213" t="s">
        <v>115</v>
      </c>
      <c r="AL40" s="213">
        <v>39</v>
      </c>
      <c r="AM40" s="128">
        <f>VLOOKUP($AK40,'Major Lower Limb Amputation'!$A$7:$AM$74,9,FALSE)</f>
        <v>1.1100000000000001</v>
      </c>
      <c r="AN40" s="128">
        <f>VLOOKUP($AK40,'Major Lower Limb Amputation'!$A$7:$AM$74,38,FALSE)</f>
        <v>0.45000000000000007</v>
      </c>
      <c r="AO40" s="128">
        <f>VLOOKUP($AK40,'Major Lower Limb Amputation'!$A$7:$AM$74,37,FALSE)</f>
        <v>0.76</v>
      </c>
      <c r="AP40" s="128">
        <v>1</v>
      </c>
    </row>
    <row r="41" spans="17:42" x14ac:dyDescent="0.25">
      <c r="AE41" s="213" t="s">
        <v>75</v>
      </c>
      <c r="AF41" s="213">
        <v>40</v>
      </c>
      <c r="AG41" s="128">
        <f>VLOOKUP($AE41,'Major Lower Limb Amputation'!$A$7:$AI$74,33,FALSE)</f>
        <v>10</v>
      </c>
      <c r="AH41" s="128">
        <f>VLOOKUP($AE41,'Major Lower Limb Amputation'!$A$7:$AI$74,34,FALSE)</f>
        <v>7</v>
      </c>
      <c r="AI41" s="128">
        <f>VLOOKUP($AE41,'Major Lower Limb Amputation'!$A$7:$AI$74,35,FALSE)</f>
        <v>7</v>
      </c>
      <c r="AK41" s="213" t="s">
        <v>433</v>
      </c>
      <c r="AL41" s="213">
        <v>40</v>
      </c>
      <c r="AM41" s="128">
        <f>VLOOKUP($AK41,'Major Lower Limb Amputation'!$A$7:$AM$74,9,FALSE)</f>
        <v>1.1499999999999999</v>
      </c>
      <c r="AN41" s="128">
        <f>VLOOKUP($AK41,'Major Lower Limb Amputation'!$A$7:$AM$74,38,FALSE)</f>
        <v>0.59999999999999987</v>
      </c>
      <c r="AO41" s="128">
        <f>VLOOKUP($AK41,'Major Lower Limb Amputation'!$A$7:$AM$74,37,FALSE)</f>
        <v>1.27</v>
      </c>
      <c r="AP41" s="128">
        <v>1</v>
      </c>
    </row>
    <row r="42" spans="17:42" x14ac:dyDescent="0.25">
      <c r="AE42" s="213" t="s">
        <v>88</v>
      </c>
      <c r="AF42" s="213">
        <v>41</v>
      </c>
      <c r="AG42" s="128">
        <f>VLOOKUP($AE42,'Major Lower Limb Amputation'!$A$7:$AI$74,33,FALSE)</f>
        <v>11</v>
      </c>
      <c r="AH42" s="128">
        <f>VLOOKUP($AE42,'Major Lower Limb Amputation'!$A$7:$AI$74,34,FALSE)</f>
        <v>6</v>
      </c>
      <c r="AI42" s="128">
        <f>VLOOKUP($AE42,'Major Lower Limb Amputation'!$A$7:$AI$74,35,FALSE)</f>
        <v>12</v>
      </c>
      <c r="AK42" s="213" t="s">
        <v>83</v>
      </c>
      <c r="AL42" s="213">
        <v>41</v>
      </c>
      <c r="AM42" s="128">
        <f>VLOOKUP($AK42,'Major Lower Limb Amputation'!$A$7:$AM$74,9,FALSE)</f>
        <v>1.1499999999999999</v>
      </c>
      <c r="AN42" s="128">
        <f>VLOOKUP($AK42,'Major Lower Limb Amputation'!$A$7:$AM$74,38,FALSE)</f>
        <v>0.36999999999999988</v>
      </c>
      <c r="AO42" s="128">
        <f>VLOOKUP($AK42,'Major Lower Limb Amputation'!$A$7:$AM$74,37,FALSE)</f>
        <v>0.55000000000000004</v>
      </c>
      <c r="AP42" s="128">
        <v>1</v>
      </c>
    </row>
    <row r="43" spans="17:42" x14ac:dyDescent="0.25">
      <c r="AE43" s="213" t="s">
        <v>17</v>
      </c>
      <c r="AF43" s="213">
        <v>42</v>
      </c>
      <c r="AG43" s="128">
        <f>VLOOKUP($AE43,'Major Lower Limb Amputation'!$A$7:$AI$74,33,FALSE)</f>
        <v>11</v>
      </c>
      <c r="AH43" s="128">
        <f>VLOOKUP($AE43,'Major Lower Limb Amputation'!$A$7:$AI$74,34,FALSE)</f>
        <v>8</v>
      </c>
      <c r="AI43" s="128">
        <f>VLOOKUP($AE43,'Major Lower Limb Amputation'!$A$7:$AI$74,35,FALSE)</f>
        <v>20</v>
      </c>
      <c r="AK43" s="213" t="s">
        <v>64</v>
      </c>
      <c r="AL43" s="213">
        <v>42</v>
      </c>
      <c r="AM43" s="128">
        <f>VLOOKUP($AK43,'Major Lower Limb Amputation'!$A$7:$AM$74,9,FALSE)</f>
        <v>1.1599999999999999</v>
      </c>
      <c r="AN43" s="128">
        <f>VLOOKUP($AK43,'Major Lower Limb Amputation'!$A$7:$AM$74,38,FALSE)</f>
        <v>0.52999999999999992</v>
      </c>
      <c r="AO43" s="128">
        <f>VLOOKUP($AK43,'Major Lower Limb Amputation'!$A$7:$AM$74,37,FALSE)</f>
        <v>0.9800000000000002</v>
      </c>
      <c r="AP43" s="128">
        <v>1</v>
      </c>
    </row>
    <row r="44" spans="17:42" x14ac:dyDescent="0.25">
      <c r="AE44" s="213" t="s">
        <v>47</v>
      </c>
      <c r="AF44" s="213">
        <v>43</v>
      </c>
      <c r="AG44" s="128">
        <f>VLOOKUP($AE44,'Major Lower Limb Amputation'!$A$7:$AI$74,33,FALSE)</f>
        <v>11</v>
      </c>
      <c r="AH44" s="128">
        <f>VLOOKUP($AE44,'Major Lower Limb Amputation'!$A$7:$AI$74,34,FALSE)</f>
        <v>8</v>
      </c>
      <c r="AI44" s="128">
        <f>VLOOKUP($AE44,'Major Lower Limb Amputation'!$A$7:$AI$74,35,FALSE)</f>
        <v>26</v>
      </c>
      <c r="AK44" s="213" t="s">
        <v>87</v>
      </c>
      <c r="AL44" s="213">
        <v>43</v>
      </c>
      <c r="AM44" s="128">
        <f>VLOOKUP($AK44,'Major Lower Limb Amputation'!$A$7:$AM$74,9,FALSE)</f>
        <v>1.25</v>
      </c>
      <c r="AN44" s="128">
        <f>VLOOKUP($AK44,'Major Lower Limb Amputation'!$A$7:$AM$74,38,FALSE)</f>
        <v>0.52</v>
      </c>
      <c r="AO44" s="128">
        <f>VLOOKUP($AK44,'Major Lower Limb Amputation'!$A$7:$AM$74,37,FALSE)</f>
        <v>0.89000000000000012</v>
      </c>
      <c r="AP44" s="128">
        <v>1</v>
      </c>
    </row>
    <row r="45" spans="17:42" x14ac:dyDescent="0.25">
      <c r="AE45" s="213" t="s">
        <v>0</v>
      </c>
      <c r="AF45" s="213">
        <v>44</v>
      </c>
      <c r="AG45" s="128">
        <f>VLOOKUP($AE45,'Major Lower Limb Amputation'!$A$7:$AI$74,33,FALSE)</f>
        <v>12</v>
      </c>
      <c r="AH45" s="128">
        <f>VLOOKUP($AE45,'Major Lower Limb Amputation'!$A$7:$AI$74,34,FALSE)</f>
        <v>7</v>
      </c>
      <c r="AI45" s="128">
        <f>VLOOKUP($AE45,'Major Lower Limb Amputation'!$A$7:$AI$74,35,FALSE)</f>
        <v>9</v>
      </c>
      <c r="AK45" s="213" t="s">
        <v>41</v>
      </c>
      <c r="AL45" s="213">
        <v>44</v>
      </c>
      <c r="AM45" s="128">
        <f>VLOOKUP($AK45,'Major Lower Limb Amputation'!$A$7:$AM$74,9,FALSE)</f>
        <v>1.29</v>
      </c>
      <c r="AN45" s="128">
        <f>VLOOKUP($AK45,'Major Lower Limb Amputation'!$A$7:$AM$74,38,FALSE)</f>
        <v>0.65</v>
      </c>
      <c r="AO45" s="128">
        <f>VLOOKUP($AK45,'Major Lower Limb Amputation'!$A$7:$AM$74,37,FALSE)</f>
        <v>1.2999999999999998</v>
      </c>
      <c r="AP45" s="128">
        <v>1</v>
      </c>
    </row>
    <row r="46" spans="17:42" x14ac:dyDescent="0.25">
      <c r="AE46" s="213" t="s">
        <v>433</v>
      </c>
      <c r="AF46" s="213">
        <v>45</v>
      </c>
      <c r="AG46" s="128">
        <f>VLOOKUP($AE46,'Major Lower Limb Amputation'!$A$7:$AI$74,33,FALSE)</f>
        <v>12</v>
      </c>
      <c r="AH46" s="128">
        <f>VLOOKUP($AE46,'Major Lower Limb Amputation'!$A$7:$AI$74,34,FALSE)</f>
        <v>6</v>
      </c>
      <c r="AI46" s="128">
        <f>VLOOKUP($AE46,'Major Lower Limb Amputation'!$A$7:$AI$74,35,FALSE)</f>
        <v>31</v>
      </c>
      <c r="AK46" s="213" t="s">
        <v>119</v>
      </c>
      <c r="AL46" s="213">
        <v>45</v>
      </c>
      <c r="AM46" s="128">
        <f>VLOOKUP($AK46,'Major Lower Limb Amputation'!$A$7:$AM$74,9,FALSE)</f>
        <v>1.33</v>
      </c>
      <c r="AN46" s="128">
        <f>VLOOKUP($AK46,'Major Lower Limb Amputation'!$A$7:$AM$74,38,FALSE)</f>
        <v>0.57000000000000006</v>
      </c>
      <c r="AO46" s="128">
        <f>VLOOKUP($AK46,'Major Lower Limb Amputation'!$A$7:$AM$74,37,FALSE)</f>
        <v>1.02</v>
      </c>
      <c r="AP46" s="128">
        <v>1</v>
      </c>
    </row>
    <row r="47" spans="17:42" x14ac:dyDescent="0.25">
      <c r="AE47" s="213" t="s">
        <v>113</v>
      </c>
      <c r="AF47" s="213">
        <v>46</v>
      </c>
      <c r="AG47" s="128">
        <f>VLOOKUP($AE47,'Major Lower Limb Amputation'!$A$7:$AI$74,33,FALSE)</f>
        <v>12</v>
      </c>
      <c r="AH47" s="128">
        <f>VLOOKUP($AE47,'Major Lower Limb Amputation'!$A$7:$AI$74,34,FALSE)</f>
        <v>7</v>
      </c>
      <c r="AI47" s="128">
        <f>VLOOKUP($AE47,'Major Lower Limb Amputation'!$A$7:$AI$74,35,FALSE)</f>
        <v>16</v>
      </c>
      <c r="AK47" s="213" t="s">
        <v>0</v>
      </c>
      <c r="AL47" s="213">
        <v>46</v>
      </c>
      <c r="AM47" s="128">
        <f>VLOOKUP($AK47,'Major Lower Limb Amputation'!$A$7:$AM$74,9,FALSE)</f>
        <v>1.35</v>
      </c>
      <c r="AN47" s="128">
        <f>VLOOKUP($AK47,'Major Lower Limb Amputation'!$A$7:$AM$74,38,FALSE)</f>
        <v>0.50000000000000011</v>
      </c>
      <c r="AO47" s="128">
        <f>VLOOKUP($AK47,'Major Lower Limb Amputation'!$A$7:$AM$74,37,FALSE)</f>
        <v>0.79999999999999982</v>
      </c>
      <c r="AP47" s="128">
        <v>1</v>
      </c>
    </row>
    <row r="48" spans="17:42" x14ac:dyDescent="0.25">
      <c r="AE48" s="213" t="s">
        <v>133</v>
      </c>
      <c r="AF48" s="213">
        <v>47</v>
      </c>
      <c r="AG48" s="128">
        <f>VLOOKUP($AE48,'Major Lower Limb Amputation'!$A$7:$AI$74,33,FALSE)</f>
        <v>13</v>
      </c>
      <c r="AH48" s="128">
        <f>VLOOKUP($AE48,'Major Lower Limb Amputation'!$A$7:$AI$74,34,FALSE)</f>
        <v>8</v>
      </c>
      <c r="AI48" s="128">
        <f>VLOOKUP($AE48,'Major Lower Limb Amputation'!$A$7:$AI$74,35,FALSE)</f>
        <v>14</v>
      </c>
      <c r="AK48" s="213" t="s">
        <v>15</v>
      </c>
      <c r="AL48" s="213">
        <v>47</v>
      </c>
      <c r="AM48" s="128">
        <f>VLOOKUP($AK48,'Major Lower Limb Amputation'!$A$7:$AM$74,9,FALSE)</f>
        <v>1.36</v>
      </c>
      <c r="AN48" s="128">
        <f>VLOOKUP($AK48,'Major Lower Limb Amputation'!$A$7:$AM$74,38,FALSE)</f>
        <v>0.68</v>
      </c>
      <c r="AO48" s="128">
        <f>VLOOKUP($AK48,'Major Lower Limb Amputation'!$A$7:$AM$74,37,FALSE)</f>
        <v>1.3499999999999999</v>
      </c>
      <c r="AP48" s="128">
        <v>1</v>
      </c>
    </row>
    <row r="49" spans="31:42" x14ac:dyDescent="0.25">
      <c r="AE49" s="213" t="s">
        <v>55</v>
      </c>
      <c r="AF49" s="213">
        <v>48</v>
      </c>
      <c r="AG49" s="128">
        <f>VLOOKUP($AE49,'Major Lower Limb Amputation'!$A$7:$AI$74,33,FALSE)</f>
        <v>13</v>
      </c>
      <c r="AH49" s="128">
        <f>VLOOKUP($AE49,'Major Lower Limb Amputation'!$A$7:$AI$74,34,FALSE)</f>
        <v>9</v>
      </c>
      <c r="AI49" s="128">
        <f>VLOOKUP($AE49,'Major Lower Limb Amputation'!$A$7:$AI$74,35,FALSE)</f>
        <v>28</v>
      </c>
      <c r="AK49" s="213" t="s">
        <v>45</v>
      </c>
      <c r="AL49" s="213">
        <v>48</v>
      </c>
      <c r="AM49" s="128">
        <f>VLOOKUP($AK49,'Major Lower Limb Amputation'!$A$7:$AM$74,9,FALSE)</f>
        <v>1.38</v>
      </c>
      <c r="AN49" s="128">
        <f>VLOOKUP($AK49,'Major Lower Limb Amputation'!$A$7:$AM$74,38,FALSE)</f>
        <v>0.51999999999999991</v>
      </c>
      <c r="AO49" s="128">
        <f>VLOOKUP($AK49,'Major Lower Limb Amputation'!$A$7:$AM$74,37,FALSE)</f>
        <v>0.8400000000000003</v>
      </c>
      <c r="AP49" s="128">
        <v>1</v>
      </c>
    </row>
    <row r="50" spans="31:42" x14ac:dyDescent="0.25">
      <c r="AE50" s="213" t="s">
        <v>27</v>
      </c>
      <c r="AF50" s="213">
        <v>49</v>
      </c>
      <c r="AG50" s="128">
        <f>VLOOKUP($AE50,'Major Lower Limb Amputation'!$A$7:$AI$74,33,FALSE)</f>
        <v>13</v>
      </c>
      <c r="AH50" s="128">
        <f>VLOOKUP($AE50,'Major Lower Limb Amputation'!$A$7:$AI$74,34,FALSE)</f>
        <v>10</v>
      </c>
      <c r="AI50" s="128">
        <f>VLOOKUP($AE50,'Major Lower Limb Amputation'!$A$7:$AI$74,35,FALSE)</f>
        <v>32</v>
      </c>
      <c r="AK50" s="213" t="s">
        <v>27</v>
      </c>
      <c r="AL50" s="213">
        <v>49</v>
      </c>
      <c r="AM50" s="128">
        <f>VLOOKUP($AK50,'Major Lower Limb Amputation'!$A$7:$AM$74,9,FALSE)</f>
        <v>1.38</v>
      </c>
      <c r="AN50" s="128">
        <f>VLOOKUP($AK50,'Major Lower Limb Amputation'!$A$7:$AM$74,38,FALSE)</f>
        <v>0.69999999999999984</v>
      </c>
      <c r="AO50" s="128">
        <f>VLOOKUP($AK50,'Major Lower Limb Amputation'!$A$7:$AM$74,37,FALSE)</f>
        <v>1.4500000000000002</v>
      </c>
      <c r="AP50" s="128">
        <v>1</v>
      </c>
    </row>
    <row r="51" spans="31:42" x14ac:dyDescent="0.25">
      <c r="AE51" s="213" t="s">
        <v>56</v>
      </c>
      <c r="AF51" s="213">
        <v>50</v>
      </c>
      <c r="AG51" s="128">
        <f>VLOOKUP($AE51,'Major Lower Limb Amputation'!$A$7:$AI$74,33,FALSE)</f>
        <v>13</v>
      </c>
      <c r="AH51" s="128">
        <f>VLOOKUP($AE51,'Major Lower Limb Amputation'!$A$7:$AI$74,34,FALSE)</f>
        <v>6</v>
      </c>
      <c r="AI51" s="128">
        <f>VLOOKUP($AE51,'Major Lower Limb Amputation'!$A$7:$AI$74,35,FALSE)</f>
        <v>24</v>
      </c>
      <c r="AK51" s="213" t="s">
        <v>51</v>
      </c>
      <c r="AL51" s="213">
        <v>50</v>
      </c>
      <c r="AM51" s="128">
        <f>VLOOKUP($AK51,'Major Lower Limb Amputation'!$A$7:$AM$74,9,FALSE)</f>
        <v>1.47</v>
      </c>
      <c r="AN51" s="128">
        <f>VLOOKUP($AK51,'Major Lower Limb Amputation'!$A$7:$AM$74,38,FALSE)</f>
        <v>0.53</v>
      </c>
      <c r="AO51" s="128">
        <f>VLOOKUP($AK51,'Major Lower Limb Amputation'!$A$7:$AM$74,37,FALSE)</f>
        <v>0.82999999999999985</v>
      </c>
      <c r="AP51" s="128">
        <v>1</v>
      </c>
    </row>
    <row r="52" spans="31:42" x14ac:dyDescent="0.25">
      <c r="AE52" s="213" t="s">
        <v>22</v>
      </c>
      <c r="AF52" s="213">
        <v>51</v>
      </c>
      <c r="AG52" s="128">
        <f>VLOOKUP($AE52,'Major Lower Limb Amputation'!$A$7:$AI$74,33,FALSE)</f>
        <v>14</v>
      </c>
      <c r="AH52" s="128">
        <f>VLOOKUP($AE52,'Major Lower Limb Amputation'!$A$7:$AI$74,34,FALSE)</f>
        <v>11</v>
      </c>
      <c r="AI52" s="128">
        <f>VLOOKUP($AE52,'Major Lower Limb Amputation'!$A$7:$AI$74,35,FALSE)</f>
        <v>65</v>
      </c>
      <c r="AK52" s="213" t="s">
        <v>117</v>
      </c>
      <c r="AL52" s="213">
        <v>51</v>
      </c>
      <c r="AM52" s="128">
        <f>VLOOKUP($AK52,'Major Lower Limb Amputation'!$A$7:$AM$74,9,FALSE)</f>
        <v>1.53</v>
      </c>
      <c r="AN52" s="128">
        <f>VLOOKUP($AK52,'Major Lower Limb Amputation'!$A$7:$AM$74,38,FALSE)</f>
        <v>0.67</v>
      </c>
      <c r="AO52" s="128">
        <f>VLOOKUP($AK52,'Major Lower Limb Amputation'!$A$7:$AM$74,37,FALSE)</f>
        <v>1.1900000000000002</v>
      </c>
      <c r="AP52" s="128">
        <v>1</v>
      </c>
    </row>
    <row r="53" spans="31:42" x14ac:dyDescent="0.25">
      <c r="AE53" s="213" t="s">
        <v>41</v>
      </c>
      <c r="AF53" s="213">
        <v>52</v>
      </c>
      <c r="AG53" s="128">
        <f>VLOOKUP($AE53,'Major Lower Limb Amputation'!$A$7:$AI$74,33,FALSE)</f>
        <v>14</v>
      </c>
      <c r="AH53" s="128">
        <f>VLOOKUP($AE53,'Major Lower Limb Amputation'!$A$7:$AI$74,34,FALSE)</f>
        <v>10</v>
      </c>
      <c r="AI53" s="128">
        <f>VLOOKUP($AE53,'Major Lower Limb Amputation'!$A$7:$AI$74,35,FALSE)</f>
        <v>59</v>
      </c>
      <c r="AK53" s="213" t="s">
        <v>66</v>
      </c>
      <c r="AL53" s="213">
        <v>52</v>
      </c>
      <c r="AM53" s="128">
        <f>VLOOKUP($AK53,'Major Lower Limb Amputation'!$A$7:$AM$74,9,FALSE)</f>
        <v>1.63</v>
      </c>
      <c r="AN53" s="128">
        <f>VLOOKUP($AK53,'Major Lower Limb Amputation'!$A$7:$AM$74,38,FALSE)</f>
        <v>0.95999999999999985</v>
      </c>
      <c r="AO53" s="128">
        <f>VLOOKUP($AK53,'Major Lower Limb Amputation'!$A$7:$AM$74,37,FALSE)</f>
        <v>2.29</v>
      </c>
      <c r="AP53" s="128">
        <v>1</v>
      </c>
    </row>
    <row r="54" spans="31:42" x14ac:dyDescent="0.25">
      <c r="AE54" s="213" t="s">
        <v>137</v>
      </c>
      <c r="AF54" s="213">
        <v>53</v>
      </c>
      <c r="AG54" s="128">
        <f>VLOOKUP($AE54,'Major Lower Limb Amputation'!$A$7:$AI$74,33,FALSE)</f>
        <v>15</v>
      </c>
      <c r="AH54" s="128">
        <f>VLOOKUP($AE54,'Major Lower Limb Amputation'!$A$7:$AI$74,34,FALSE)</f>
        <v>10</v>
      </c>
      <c r="AI54" s="128">
        <f>VLOOKUP($AE54,'Major Lower Limb Amputation'!$A$7:$AI$74,35,FALSE)</f>
        <v>20</v>
      </c>
      <c r="AK54" s="213" t="s">
        <v>2</v>
      </c>
      <c r="AL54" s="213">
        <v>53</v>
      </c>
      <c r="AM54" s="128">
        <f>VLOOKUP($AK54,'Major Lower Limb Amputation'!$A$7:$AM$74,9,FALSE)</f>
        <v>1.65</v>
      </c>
      <c r="AN54" s="128">
        <f>VLOOKUP($AK54,'Major Lower Limb Amputation'!$A$7:$AM$74,38,FALSE)</f>
        <v>0.54999999999999982</v>
      </c>
      <c r="AO54" s="128">
        <f>VLOOKUP($AK54,'Major Lower Limb Amputation'!$A$7:$AM$74,37,FALSE)</f>
        <v>0.83000000000000007</v>
      </c>
      <c r="AP54" s="128">
        <v>1</v>
      </c>
    </row>
    <row r="55" spans="31:42" x14ac:dyDescent="0.25">
      <c r="AE55" s="213" t="s">
        <v>60</v>
      </c>
      <c r="AF55" s="213">
        <v>54</v>
      </c>
      <c r="AG55" s="128">
        <f>VLOOKUP($AE55,'Major Lower Limb Amputation'!$A$7:$AI$74,33,FALSE)</f>
        <v>16</v>
      </c>
      <c r="AH55" s="128">
        <f>VLOOKUP($AE55,'Major Lower Limb Amputation'!$A$7:$AI$74,34,FALSE)</f>
        <v>10</v>
      </c>
      <c r="AI55" s="128">
        <f>VLOOKUP($AE55,'Major Lower Limb Amputation'!$A$7:$AI$74,35,FALSE)</f>
        <v>44</v>
      </c>
      <c r="AK55" s="213" t="s">
        <v>94</v>
      </c>
      <c r="AL55" s="213">
        <v>54</v>
      </c>
      <c r="AM55" s="128">
        <f>VLOOKUP($AK55,'Major Lower Limb Amputation'!$A$7:$AM$74,9,FALSE)</f>
        <v>2.23</v>
      </c>
      <c r="AN55" s="128">
        <f>VLOOKUP($AK55,'Major Lower Limb Amputation'!$A$7:$AM$74,38,FALSE)</f>
        <v>1.07</v>
      </c>
      <c r="AO55" s="128">
        <f>VLOOKUP($AK55,'Major Lower Limb Amputation'!$A$7:$AM$74,37,FALSE)</f>
        <v>2.06</v>
      </c>
      <c r="AP55" s="128">
        <v>1</v>
      </c>
    </row>
    <row r="56" spans="31:42" x14ac:dyDescent="0.25">
      <c r="AE56" s="213" t="s">
        <v>119</v>
      </c>
      <c r="AF56" s="213">
        <v>55</v>
      </c>
      <c r="AG56" s="128">
        <f>VLOOKUP($AE56,'Major Lower Limb Amputation'!$A$7:$AI$74,33,FALSE)</f>
        <v>16</v>
      </c>
      <c r="AH56" s="128">
        <f>VLOOKUP($AE56,'Major Lower Limb Amputation'!$A$7:$AI$74,34,FALSE)</f>
        <v>3</v>
      </c>
      <c r="AI56" s="128">
        <f>VLOOKUP($AE56,'Major Lower Limb Amputation'!$A$7:$AI$74,35,FALSE)</f>
        <v>29</v>
      </c>
      <c r="AK56" s="213" t="s">
        <v>8</v>
      </c>
      <c r="AL56" s="213">
        <v>55</v>
      </c>
      <c r="AM56" s="128">
        <f>VLOOKUP($AK56,'Major Lower Limb Amputation'!$A$7:$AM$74,9,FALSE)</f>
        <v>3.43</v>
      </c>
      <c r="AN56" s="128">
        <f>VLOOKUP($AK56,'Major Lower Limb Amputation'!$A$7:$AM$74,38,FALSE)</f>
        <v>1.9500000000000002</v>
      </c>
      <c r="AO56" s="128">
        <f>VLOOKUP($AK56,'Major Lower Limb Amputation'!$A$7:$AM$74,37,FALSE)</f>
        <v>4.07</v>
      </c>
      <c r="AP56" s="128">
        <v>1</v>
      </c>
    </row>
    <row r="57" spans="31:42" x14ac:dyDescent="0.25">
      <c r="AE57" s="213" t="s">
        <v>97</v>
      </c>
      <c r="AF57" s="213">
        <v>56</v>
      </c>
      <c r="AG57" s="128">
        <f>VLOOKUP($AE57,'Major Lower Limb Amputation'!$A$7:$AI$74,33,FALSE)</f>
        <v>25</v>
      </c>
      <c r="AH57" s="128">
        <f>VLOOKUP($AE57,'Major Lower Limb Amputation'!$A$7:$AI$74,34,FALSE)</f>
        <v>10</v>
      </c>
      <c r="AI57" s="128">
        <f>VLOOKUP($AE57,'Major Lower Limb Amputation'!$A$7:$AI$74,35,FALSE)</f>
        <v>29</v>
      </c>
      <c r="AK57" s="213" t="s">
        <v>97</v>
      </c>
      <c r="AL57" s="213">
        <v>56</v>
      </c>
      <c r="AM57" s="128">
        <f>VLOOKUP($AK57,'Major Lower Limb Amputation'!$A$7:$AM$74,9,FALSE)</f>
        <v>3.5</v>
      </c>
      <c r="AN57" s="128">
        <f>VLOOKUP($AK57,'Major Lower Limb Amputation'!$A$7:$AM$74,38,FALSE)</f>
        <v>2.35</v>
      </c>
      <c r="AO57" s="128">
        <f>VLOOKUP($AK57,'Major Lower Limb Amputation'!$A$7:$AM$74,37,FALSE)</f>
        <v>4</v>
      </c>
      <c r="AP57" s="128">
        <v>1</v>
      </c>
    </row>
    <row r="58" spans="31:42" x14ac:dyDescent="0.25">
      <c r="AE58" s="213"/>
      <c r="AF58" s="213"/>
      <c r="AK58" s="213" t="s">
        <v>30</v>
      </c>
      <c r="AL58" s="213">
        <v>57</v>
      </c>
      <c r="AM58" s="128">
        <f>VLOOKUP($AK58,'Major Lower Limb Amputation'!$A$7:$AM$74,9,FALSE)</f>
        <v>3.67</v>
      </c>
      <c r="AN58" s="128">
        <f>VLOOKUP($AK58,'Major Lower Limb Amputation'!$A$7:$AM$74,38,FALSE)</f>
        <v>2.1799999999999997</v>
      </c>
      <c r="AO58" s="128">
        <f>VLOOKUP($AK58,'Major Lower Limb Amputation'!$A$7:$AM$74,37,FALSE)</f>
        <v>3.83</v>
      </c>
      <c r="AP58" s="128">
        <v>1</v>
      </c>
    </row>
    <row r="59" spans="31:42" x14ac:dyDescent="0.25">
      <c r="AE59" s="213"/>
      <c r="AF59" s="213"/>
      <c r="AK59" s="213" t="s">
        <v>10</v>
      </c>
      <c r="AL59" s="213">
        <v>58</v>
      </c>
      <c r="AM59" s="128">
        <f>VLOOKUP($AK59,'Major Lower Limb Amputation'!$A$7:$AM$74,9,FALSE)</f>
        <v>5.33</v>
      </c>
      <c r="AN59" s="128">
        <f>VLOOKUP($AK59,'Major Lower Limb Amputation'!$A$7:$AM$74,38,FALSE)</f>
        <v>3.7800000000000002</v>
      </c>
      <c r="AO59" s="128">
        <f>VLOOKUP($AK59,'Major Lower Limb Amputation'!$A$7:$AM$74,37,FALSE)</f>
        <v>2.17</v>
      </c>
      <c r="AP59" s="128">
        <v>1</v>
      </c>
    </row>
    <row r="60" spans="31:42" x14ac:dyDescent="0.25">
      <c r="AE60" s="213"/>
      <c r="AF60" s="213"/>
      <c r="AK60" s="213" t="s">
        <v>53</v>
      </c>
      <c r="AL60" s="213">
        <v>59</v>
      </c>
      <c r="AM60" s="128">
        <f>VLOOKUP($AK60,'Major Lower Limb Amputation'!$A$7:$AM$74,9,FALSE)</f>
        <v>5.5</v>
      </c>
      <c r="AN60" s="128">
        <f>VLOOKUP($AK60,'Major Lower Limb Amputation'!$A$7:$AM$74,38,FALSE)</f>
        <v>4.28</v>
      </c>
      <c r="AO60" s="128">
        <f>VLOOKUP($AK60,'Major Lower Limb Amputation'!$A$7:$AM$74,37,FALSE)</f>
        <v>2</v>
      </c>
      <c r="AP60" s="128">
        <v>1</v>
      </c>
    </row>
    <row r="61" spans="31:42" x14ac:dyDescent="0.25">
      <c r="AE61" s="213"/>
      <c r="AF61" s="213"/>
      <c r="AK61" s="213"/>
      <c r="AL61" s="213"/>
    </row>
    <row r="62" spans="31:42" x14ac:dyDescent="0.25">
      <c r="AE62" s="213"/>
      <c r="AF62" s="213"/>
      <c r="AK62" s="213"/>
      <c r="AL62" s="213"/>
    </row>
    <row r="63" spans="31:42" x14ac:dyDescent="0.25">
      <c r="AE63" s="213"/>
      <c r="AF63" s="213"/>
      <c r="AK63" s="213"/>
      <c r="AL63" s="213"/>
    </row>
    <row r="64" spans="31:42" x14ac:dyDescent="0.25">
      <c r="AE64" s="213"/>
      <c r="AF64" s="213"/>
      <c r="AK64" s="213"/>
      <c r="AL64" s="213"/>
    </row>
    <row r="65" spans="31:38" x14ac:dyDescent="0.25">
      <c r="AE65" s="213"/>
      <c r="AF65" s="213"/>
      <c r="AK65" s="213"/>
      <c r="AL65" s="213"/>
    </row>
    <row r="66" spans="31:38" x14ac:dyDescent="0.25">
      <c r="AE66" s="213"/>
      <c r="AF66" s="213"/>
      <c r="AK66" s="213"/>
      <c r="AL66" s="213"/>
    </row>
    <row r="67" spans="31:38" x14ac:dyDescent="0.25">
      <c r="AE67" s="213"/>
      <c r="AF67" s="213"/>
      <c r="AK67" s="213"/>
      <c r="AL67" s="213"/>
    </row>
    <row r="68" spans="31:38" x14ac:dyDescent="0.25">
      <c r="AE68" s="213"/>
      <c r="AF68" s="213"/>
      <c r="AK68" s="213"/>
      <c r="AL68" s="213"/>
    </row>
    <row r="69" spans="31:38" x14ac:dyDescent="0.25">
      <c r="AE69" s="233"/>
      <c r="AF69" s="213"/>
      <c r="AK69" s="233"/>
    </row>
    <row r="70" spans="31:38" x14ac:dyDescent="0.25">
      <c r="AE70" s="233"/>
      <c r="AF70" s="213"/>
      <c r="AK70" s="233"/>
    </row>
  </sheetData>
  <mergeCells count="3">
    <mergeCell ref="B30:C30"/>
    <mergeCell ref="K32:O32"/>
    <mergeCell ref="F2:J2"/>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'Major Lower Limb Amputation'!$R$7:$S$7</xm:f>
          </x14:formula1>
          <xm:sqref>K32:O32</xm:sqref>
        </x14:dataValidation>
        <x14:dataValidation type="list" allowBlank="1" showInputMessage="1" showErrorMessage="1">
          <x14:formula1>
            <xm:f>'Major Lower Limb Amputation'!$E$7:$F$7</xm:f>
          </x14:formula1>
          <xm:sqref>F2:J2</xm:sqref>
        </x14:dataValidation>
        <x14:dataValidation type="list" allowBlank="1" showInputMessage="1" showErrorMessage="1">
          <x14:formula1>
            <xm:f>'Major Lower Limb Amputation'!$B$8:$B$74</xm:f>
          </x14:formula1>
          <xm:sqref>B1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70"/>
  <sheetViews>
    <sheetView showGridLines="0" zoomScaleNormal="100" workbookViewId="0">
      <selection activeCell="B1" sqref="B1"/>
    </sheetView>
  </sheetViews>
  <sheetFormatPr defaultRowHeight="15" x14ac:dyDescent="0.25"/>
  <cols>
    <col min="1" max="1" width="12.42578125" bestFit="1" customWidth="1"/>
    <col min="2" max="2" width="65.140625" bestFit="1" customWidth="1"/>
    <col min="3" max="6" width="16.140625" customWidth="1"/>
    <col min="7" max="7" width="18.5703125" customWidth="1"/>
    <col min="8" max="8" width="19.85546875" customWidth="1"/>
    <col min="9" max="9" width="16.140625" customWidth="1"/>
    <col min="10" max="10" width="19.85546875" customWidth="1"/>
    <col min="11" max="11" width="16.140625" customWidth="1"/>
    <col min="13" max="14" width="9.140625" style="22"/>
    <col min="15" max="15" width="36.7109375" style="128" customWidth="1"/>
    <col min="16" max="31" width="9.140625" style="128"/>
    <col min="32" max="32" width="61" style="128" bestFit="1" customWidth="1"/>
    <col min="33" max="43" width="9.140625" style="128"/>
    <col min="44" max="51" width="9.140625" style="22"/>
    <col min="52" max="53" width="9.140625" style="128"/>
    <col min="54" max="67" width="9.140625" style="22"/>
  </cols>
  <sheetData>
    <row r="1" spans="1:39" ht="30.75" customHeight="1" x14ac:dyDescent="0.25">
      <c r="A1" s="12" t="s">
        <v>229</v>
      </c>
      <c r="B1" s="13" t="s">
        <v>291</v>
      </c>
      <c r="AA1" s="200" t="s">
        <v>233</v>
      </c>
      <c r="AB1" s="217" t="s">
        <v>234</v>
      </c>
      <c r="AC1" s="217" t="s">
        <v>235</v>
      </c>
      <c r="AD1" s="218" t="s">
        <v>231</v>
      </c>
      <c r="AE1" s="234" t="s">
        <v>140</v>
      </c>
      <c r="AF1" s="234" t="s">
        <v>139</v>
      </c>
      <c r="AG1" s="217" t="s">
        <v>231</v>
      </c>
      <c r="AH1" s="208" t="s">
        <v>328</v>
      </c>
      <c r="AI1" s="208" t="s">
        <v>287</v>
      </c>
      <c r="AJ1" s="208" t="s">
        <v>288</v>
      </c>
      <c r="AK1" s="217" t="s">
        <v>278</v>
      </c>
      <c r="AL1" s="204" t="s">
        <v>279</v>
      </c>
      <c r="AM1" s="204" t="s">
        <v>237</v>
      </c>
    </row>
    <row r="2" spans="1:39" ht="15.75" x14ac:dyDescent="0.25">
      <c r="E2" s="23" t="s">
        <v>252</v>
      </c>
      <c r="F2" s="242" t="s">
        <v>147</v>
      </c>
      <c r="G2" s="242"/>
      <c r="H2" s="242"/>
      <c r="I2" s="242"/>
      <c r="J2" s="22"/>
      <c r="K2" s="22"/>
      <c r="L2" s="22"/>
      <c r="AA2" s="128">
        <f>VLOOKUP($B$1,$AF:$AK,3,FALSE)</f>
        <v>19</v>
      </c>
      <c r="AB2" s="128">
        <f>VLOOKUP($B$1,$AF:$AK,4,FALSE)</f>
        <v>8</v>
      </c>
      <c r="AC2" s="128">
        <f>VLOOKUP($B$1,$AF:$AK,5,FALSE)</f>
        <v>17</v>
      </c>
      <c r="AD2" s="128">
        <f>VLOOKUP($B$1,$AF:$AK,2,FALSE)</f>
        <v>55</v>
      </c>
      <c r="AE2" s="221" t="s">
        <v>22</v>
      </c>
      <c r="AF2" s="211" t="s">
        <v>23</v>
      </c>
      <c r="AG2" s="128">
        <v>1</v>
      </c>
      <c r="AH2" s="232">
        <f>VLOOKUP($AE2,'Carotid Endarterectomy'!$A:$AB,25,FALSE)</f>
        <v>5</v>
      </c>
      <c r="AI2" s="232">
        <f>VLOOKUP($AE2,'Carotid Endarterectomy'!$A:$AB,26,FALSE)</f>
        <v>1</v>
      </c>
      <c r="AJ2" s="232">
        <f>VLOOKUP($AE2,'Carotid Endarterectomy'!$A:$AB,27,FALSE)</f>
        <v>3</v>
      </c>
      <c r="AK2" s="232">
        <f>VLOOKUP($AE2,'Carotid Endarterectomy'!$A:$AB,28,FALSE)</f>
        <v>14</v>
      </c>
      <c r="AL2" s="128">
        <f>VLOOKUP($C29,'CEA Funnel'!$A:$C,2,FALSE)</f>
        <v>90</v>
      </c>
      <c r="AM2" s="128">
        <f>VLOOKUP($C29,'CEA Funnel'!$A:$C,3,FALSE)</f>
        <v>1.3</v>
      </c>
    </row>
    <row r="3" spans="1:39" x14ac:dyDescent="0.25">
      <c r="AE3" s="221" t="s">
        <v>12</v>
      </c>
      <c r="AF3" s="211" t="s">
        <v>296</v>
      </c>
      <c r="AG3" s="128">
        <v>2</v>
      </c>
      <c r="AH3" s="232">
        <f>VLOOKUP($AE3,'Carotid Endarterectomy'!$A:$AB,25,FALSE)</f>
        <v>6</v>
      </c>
      <c r="AI3" s="232">
        <f>VLOOKUP($AE3,'Carotid Endarterectomy'!$A:$AB,26,FALSE)</f>
        <v>1</v>
      </c>
      <c r="AJ3" s="232">
        <f>VLOOKUP($AE3,'Carotid Endarterectomy'!$A:$AB,27,FALSE)</f>
        <v>2</v>
      </c>
      <c r="AK3" s="232">
        <f>VLOOKUP($AE3,'Carotid Endarterectomy'!$A:$AB,28,FALSE)</f>
        <v>14</v>
      </c>
    </row>
    <row r="4" spans="1:39" x14ac:dyDescent="0.25">
      <c r="O4" s="128">
        <f>MATCH(F2,'Carotid Endarterectomy'!$G$1:$H$1,0)</f>
        <v>2</v>
      </c>
      <c r="AE4" s="221" t="s">
        <v>25</v>
      </c>
      <c r="AF4" s="211" t="s">
        <v>26</v>
      </c>
      <c r="AG4" s="128">
        <v>3</v>
      </c>
      <c r="AH4" s="232">
        <f>VLOOKUP($AE4,'Carotid Endarterectomy'!$A:$AB,25,FALSE)</f>
        <v>8</v>
      </c>
      <c r="AI4" s="232">
        <f>VLOOKUP($AE4,'Carotid Endarterectomy'!$A:$AB,26,FALSE)</f>
        <v>2</v>
      </c>
      <c r="AJ4" s="232">
        <f>VLOOKUP($AE4,'Carotid Endarterectomy'!$A:$AB,27,FALSE)</f>
        <v>3</v>
      </c>
      <c r="AK4" s="232">
        <f>VLOOKUP($AE4,'Carotid Endarterectomy'!$A:$AB,28,FALSE)</f>
        <v>14</v>
      </c>
    </row>
    <row r="5" spans="1:39" x14ac:dyDescent="0.25">
      <c r="AE5" s="221" t="s">
        <v>360</v>
      </c>
      <c r="AF5" s="211" t="s">
        <v>361</v>
      </c>
      <c r="AG5" s="128">
        <v>4</v>
      </c>
      <c r="AH5" s="232">
        <f>VLOOKUP($AE5,'Carotid Endarterectomy'!$A:$AB,25,FALSE)</f>
        <v>9</v>
      </c>
      <c r="AI5" s="232">
        <f>VLOOKUP($AE5,'Carotid Endarterectomy'!$A:$AB,26,FALSE)</f>
        <v>2</v>
      </c>
      <c r="AJ5" s="232">
        <f>VLOOKUP($AE5,'Carotid Endarterectomy'!$A:$AB,27,FALSE)</f>
        <v>4</v>
      </c>
      <c r="AK5" s="232">
        <f>VLOOKUP($AE5,'Carotid Endarterectomy'!$A:$AB,28,FALSE)</f>
        <v>14</v>
      </c>
    </row>
    <row r="6" spans="1:39" x14ac:dyDescent="0.25">
      <c r="AE6" s="221" t="s">
        <v>60</v>
      </c>
      <c r="AF6" s="211" t="s">
        <v>61</v>
      </c>
      <c r="AG6" s="128">
        <v>5</v>
      </c>
      <c r="AH6" s="232">
        <f>VLOOKUP($AE6,'Carotid Endarterectomy'!$A:$AB,25,FALSE)</f>
        <v>9</v>
      </c>
      <c r="AI6" s="232">
        <f>VLOOKUP($AE6,'Carotid Endarterectomy'!$A:$AB,26,FALSE)</f>
        <v>3</v>
      </c>
      <c r="AJ6" s="232">
        <f>VLOOKUP($AE6,'Carotid Endarterectomy'!$A:$AB,27,FALSE)</f>
        <v>6</v>
      </c>
      <c r="AK6" s="232">
        <f>VLOOKUP($AE6,'Carotid Endarterectomy'!$A:$AB,28,FALSE)</f>
        <v>14</v>
      </c>
    </row>
    <row r="7" spans="1:39" x14ac:dyDescent="0.25">
      <c r="AE7" s="221" t="s">
        <v>87</v>
      </c>
      <c r="AF7" s="211" t="s">
        <v>228</v>
      </c>
      <c r="AG7" s="128">
        <v>6</v>
      </c>
      <c r="AH7" s="232">
        <f>VLOOKUP($AE7,'Carotid Endarterectomy'!$A:$AB,25,FALSE)</f>
        <v>9</v>
      </c>
      <c r="AI7" s="232">
        <f>VLOOKUP($AE7,'Carotid Endarterectomy'!$A:$AB,26,FALSE)</f>
        <v>3</v>
      </c>
      <c r="AJ7" s="232">
        <f>VLOOKUP($AE7,'Carotid Endarterectomy'!$A:$AB,27,FALSE)</f>
        <v>7</v>
      </c>
      <c r="AK7" s="232">
        <f>VLOOKUP($AE7,'Carotid Endarterectomy'!$A:$AB,28,FALSE)</f>
        <v>14</v>
      </c>
    </row>
    <row r="8" spans="1:39" x14ac:dyDescent="0.25">
      <c r="AE8" s="221" t="s">
        <v>433</v>
      </c>
      <c r="AF8" s="211" t="s">
        <v>353</v>
      </c>
      <c r="AG8" s="128">
        <v>7</v>
      </c>
      <c r="AH8" s="232">
        <f>VLOOKUP($AE8,'Carotid Endarterectomy'!$A:$AB,25,FALSE)</f>
        <v>10</v>
      </c>
      <c r="AI8" s="232">
        <f>VLOOKUP($AE8,'Carotid Endarterectomy'!$A:$AB,26,FALSE)</f>
        <v>4</v>
      </c>
      <c r="AJ8" s="232">
        <f>VLOOKUP($AE8,'Carotid Endarterectomy'!$A:$AB,27,FALSE)</f>
        <v>3</v>
      </c>
      <c r="AK8" s="232">
        <f>VLOOKUP($AE8,'Carotid Endarterectomy'!$A:$AB,28,FALSE)</f>
        <v>14</v>
      </c>
    </row>
    <row r="9" spans="1:39" x14ac:dyDescent="0.25">
      <c r="AE9" s="221" t="s">
        <v>79</v>
      </c>
      <c r="AF9" s="211" t="s">
        <v>80</v>
      </c>
      <c r="AG9" s="128">
        <v>8</v>
      </c>
      <c r="AH9" s="232">
        <f>VLOOKUP($AE9,'Carotid Endarterectomy'!$A:$AB,25,FALSE)</f>
        <v>10</v>
      </c>
      <c r="AI9" s="232">
        <f>VLOOKUP($AE9,'Carotid Endarterectomy'!$A:$AB,26,FALSE)</f>
        <v>3</v>
      </c>
      <c r="AJ9" s="232">
        <f>VLOOKUP($AE9,'Carotid Endarterectomy'!$A:$AB,27,FALSE)</f>
        <v>3</v>
      </c>
      <c r="AK9" s="232">
        <f>VLOOKUP($AE9,'Carotid Endarterectomy'!$A:$AB,28,FALSE)</f>
        <v>14</v>
      </c>
    </row>
    <row r="10" spans="1:39" x14ac:dyDescent="0.25">
      <c r="AE10" s="221" t="s">
        <v>123</v>
      </c>
      <c r="AF10" s="211" t="s">
        <v>124</v>
      </c>
      <c r="AG10" s="128">
        <v>9</v>
      </c>
      <c r="AH10" s="232">
        <f>VLOOKUP($AE10,'Carotid Endarterectomy'!$A:$AB,25,FALSE)</f>
        <v>10</v>
      </c>
      <c r="AI10" s="232">
        <f>VLOOKUP($AE10,'Carotid Endarterectomy'!$A:$AB,26,FALSE)</f>
        <v>3</v>
      </c>
      <c r="AJ10" s="232">
        <f>VLOOKUP($AE10,'Carotid Endarterectomy'!$A:$AB,27,FALSE)</f>
        <v>3</v>
      </c>
      <c r="AK10" s="232">
        <f>VLOOKUP($AE10,'Carotid Endarterectomy'!$A:$AB,28,FALSE)</f>
        <v>14</v>
      </c>
    </row>
    <row r="11" spans="1:39" x14ac:dyDescent="0.25">
      <c r="AE11" s="221" t="s">
        <v>49</v>
      </c>
      <c r="AF11" s="211" t="s">
        <v>50</v>
      </c>
      <c r="AG11" s="128">
        <v>10</v>
      </c>
      <c r="AH11" s="232">
        <f>VLOOKUP($AE11,'Carotid Endarterectomy'!$A:$AB,25,FALSE)</f>
        <v>10</v>
      </c>
      <c r="AI11" s="232">
        <f>VLOOKUP($AE11,'Carotid Endarterectomy'!$A:$AB,26,FALSE)</f>
        <v>2</v>
      </c>
      <c r="AJ11" s="232">
        <f>VLOOKUP($AE11,'Carotid Endarterectomy'!$A:$AB,27,FALSE)</f>
        <v>5</v>
      </c>
      <c r="AK11" s="232">
        <f>VLOOKUP($AE11,'Carotid Endarterectomy'!$A:$AB,28,FALSE)</f>
        <v>14</v>
      </c>
    </row>
    <row r="12" spans="1:39" x14ac:dyDescent="0.25">
      <c r="AE12" s="221" t="s">
        <v>105</v>
      </c>
      <c r="AF12" s="211" t="s">
        <v>106</v>
      </c>
      <c r="AG12" s="128">
        <v>11</v>
      </c>
      <c r="AH12" s="232">
        <f>VLOOKUP($AE12,'Carotid Endarterectomy'!$A:$AB,25,FALSE)</f>
        <v>10</v>
      </c>
      <c r="AI12" s="232">
        <f>VLOOKUP($AE12,'Carotid Endarterectomy'!$A:$AB,26,FALSE)</f>
        <v>2</v>
      </c>
      <c r="AJ12" s="232">
        <f>VLOOKUP($AE12,'Carotid Endarterectomy'!$A:$AB,27,FALSE)</f>
        <v>5</v>
      </c>
      <c r="AK12" s="232">
        <f>VLOOKUP($AE12,'Carotid Endarterectomy'!$A:$AB,28,FALSE)</f>
        <v>14</v>
      </c>
    </row>
    <row r="13" spans="1:39" x14ac:dyDescent="0.25">
      <c r="AE13" s="221" t="s">
        <v>94</v>
      </c>
      <c r="AF13" s="211" t="s">
        <v>95</v>
      </c>
      <c r="AG13" s="128">
        <v>12</v>
      </c>
      <c r="AH13" s="232">
        <f>VLOOKUP($AE13,'Carotid Endarterectomy'!$A:$AB,25,FALSE)</f>
        <v>10</v>
      </c>
      <c r="AI13" s="232">
        <f>VLOOKUP($AE13,'Carotid Endarterectomy'!$A:$AB,26,FALSE)</f>
        <v>5</v>
      </c>
      <c r="AJ13" s="232">
        <f>VLOOKUP($AE13,'Carotid Endarterectomy'!$A:$AB,27,FALSE)</f>
        <v>9</v>
      </c>
      <c r="AK13" s="232">
        <f>VLOOKUP($AE13,'Carotid Endarterectomy'!$A:$AB,28,FALSE)</f>
        <v>14</v>
      </c>
    </row>
    <row r="14" spans="1:39" x14ac:dyDescent="0.25">
      <c r="AE14" s="221" t="s">
        <v>101</v>
      </c>
      <c r="AF14" s="211" t="s">
        <v>102</v>
      </c>
      <c r="AG14" s="128">
        <v>13</v>
      </c>
      <c r="AH14" s="232">
        <f>VLOOKUP($AE14,'Carotid Endarterectomy'!$A:$AB,25,FALSE)</f>
        <v>11</v>
      </c>
      <c r="AI14" s="232">
        <f>VLOOKUP($AE14,'Carotid Endarterectomy'!$A:$AB,26,FALSE)</f>
        <v>4</v>
      </c>
      <c r="AJ14" s="232">
        <f>VLOOKUP($AE14,'Carotid Endarterectomy'!$A:$AB,27,FALSE)</f>
        <v>3</v>
      </c>
      <c r="AK14" s="232">
        <f>VLOOKUP($AE14,'Carotid Endarterectomy'!$A:$AB,28,FALSE)</f>
        <v>14</v>
      </c>
    </row>
    <row r="15" spans="1:39" x14ac:dyDescent="0.25">
      <c r="AE15" s="221" t="s">
        <v>47</v>
      </c>
      <c r="AF15" s="211" t="s">
        <v>48</v>
      </c>
      <c r="AG15" s="128">
        <v>14</v>
      </c>
      <c r="AH15" s="232">
        <f>VLOOKUP($AE15,'Carotid Endarterectomy'!$A:$AB,25,FALSE)</f>
        <v>11</v>
      </c>
      <c r="AI15" s="232">
        <f>VLOOKUP($AE15,'Carotid Endarterectomy'!$A:$AB,26,FALSE)</f>
        <v>2</v>
      </c>
      <c r="AJ15" s="232">
        <f>VLOOKUP($AE15,'Carotid Endarterectomy'!$A:$AB,27,FALSE)</f>
        <v>4</v>
      </c>
      <c r="AK15" s="232">
        <f>VLOOKUP($AE15,'Carotid Endarterectomy'!$A:$AB,28,FALSE)</f>
        <v>14</v>
      </c>
    </row>
    <row r="16" spans="1:39" x14ac:dyDescent="0.25">
      <c r="AE16" s="221" t="s">
        <v>131</v>
      </c>
      <c r="AF16" s="211" t="s">
        <v>132</v>
      </c>
      <c r="AG16" s="128">
        <v>15</v>
      </c>
      <c r="AH16" s="232">
        <f>VLOOKUP($AE16,'Carotid Endarterectomy'!$A:$AB,25,FALSE)</f>
        <v>11</v>
      </c>
      <c r="AI16" s="232">
        <f>VLOOKUP($AE16,'Carotid Endarterectomy'!$A:$AB,26,FALSE)</f>
        <v>1</v>
      </c>
      <c r="AJ16" s="232">
        <f>VLOOKUP($AE16,'Carotid Endarterectomy'!$A:$AB,27,FALSE)</f>
        <v>4</v>
      </c>
      <c r="AK16" s="232">
        <f>VLOOKUP($AE16,'Carotid Endarterectomy'!$A:$AB,28,FALSE)</f>
        <v>14</v>
      </c>
    </row>
    <row r="17" spans="2:37" x14ac:dyDescent="0.25">
      <c r="AE17" s="221" t="s">
        <v>17</v>
      </c>
      <c r="AF17" s="211" t="s">
        <v>339</v>
      </c>
      <c r="AG17" s="128">
        <v>16</v>
      </c>
      <c r="AH17" s="232">
        <f>VLOOKUP($AE17,'Carotid Endarterectomy'!$A:$AB,25,FALSE)</f>
        <v>11</v>
      </c>
      <c r="AI17" s="232">
        <f>VLOOKUP($AE17,'Carotid Endarterectomy'!$A:$AB,26,FALSE)</f>
        <v>4</v>
      </c>
      <c r="AJ17" s="232">
        <f>VLOOKUP($AE17,'Carotid Endarterectomy'!$A:$AB,27,FALSE)</f>
        <v>5</v>
      </c>
      <c r="AK17" s="232">
        <f>VLOOKUP($AE17,'Carotid Endarterectomy'!$A:$AB,28,FALSE)</f>
        <v>14</v>
      </c>
    </row>
    <row r="18" spans="2:37" x14ac:dyDescent="0.25">
      <c r="AE18" s="221" t="s">
        <v>92</v>
      </c>
      <c r="AF18" s="211" t="s">
        <v>93</v>
      </c>
      <c r="AG18" s="128">
        <v>17</v>
      </c>
      <c r="AH18" s="232">
        <f>VLOOKUP($AE18,'Carotid Endarterectomy'!$A:$AB,25,FALSE)</f>
        <v>11</v>
      </c>
      <c r="AI18" s="232">
        <f>VLOOKUP($AE18,'Carotid Endarterectomy'!$A:$AB,26,FALSE)</f>
        <v>3</v>
      </c>
      <c r="AJ18" s="232">
        <f>VLOOKUP($AE18,'Carotid Endarterectomy'!$A:$AB,27,FALSE)</f>
        <v>5</v>
      </c>
      <c r="AK18" s="232">
        <f>VLOOKUP($AE18,'Carotid Endarterectomy'!$A:$AB,28,FALSE)</f>
        <v>14</v>
      </c>
    </row>
    <row r="19" spans="2:37" x14ac:dyDescent="0.25">
      <c r="AE19" s="221" t="s">
        <v>103</v>
      </c>
      <c r="AF19" s="211" t="s">
        <v>104</v>
      </c>
      <c r="AG19" s="128">
        <v>18</v>
      </c>
      <c r="AH19" s="232">
        <f>VLOOKUP($AE19,'Carotid Endarterectomy'!$A:$AB,25,FALSE)</f>
        <v>11</v>
      </c>
      <c r="AI19" s="232">
        <f>VLOOKUP($AE19,'Carotid Endarterectomy'!$A:$AB,26,FALSE)</f>
        <v>4</v>
      </c>
      <c r="AJ19" s="232">
        <f>VLOOKUP($AE19,'Carotid Endarterectomy'!$A:$AB,27,FALSE)</f>
        <v>7</v>
      </c>
      <c r="AK19" s="232">
        <f>VLOOKUP($AE19,'Carotid Endarterectomy'!$A:$AB,28,FALSE)</f>
        <v>14</v>
      </c>
    </row>
    <row r="20" spans="2:37" x14ac:dyDescent="0.25">
      <c r="AE20" s="221" t="s">
        <v>68</v>
      </c>
      <c r="AF20" s="211" t="s">
        <v>293</v>
      </c>
      <c r="AG20" s="128">
        <v>19</v>
      </c>
      <c r="AH20" s="232">
        <f>VLOOKUP($AE20,'Carotid Endarterectomy'!$A:$AB,25,FALSE)</f>
        <v>11</v>
      </c>
      <c r="AI20" s="232">
        <f>VLOOKUP($AE20,'Carotid Endarterectomy'!$A:$AB,26,FALSE)</f>
        <v>3</v>
      </c>
      <c r="AJ20" s="232">
        <f>VLOOKUP($AE20,'Carotid Endarterectomy'!$A:$AB,27,FALSE)</f>
        <v>7</v>
      </c>
      <c r="AK20" s="232">
        <f>VLOOKUP($AE20,'Carotid Endarterectomy'!$A:$AB,28,FALSE)</f>
        <v>14</v>
      </c>
    </row>
    <row r="21" spans="2:37" x14ac:dyDescent="0.25">
      <c r="AE21" s="221" t="s">
        <v>10</v>
      </c>
      <c r="AF21" s="211" t="s">
        <v>11</v>
      </c>
      <c r="AG21" s="128">
        <v>20</v>
      </c>
      <c r="AH21" s="232">
        <f>VLOOKUP($AE21,'Carotid Endarterectomy'!$A:$AB,25,FALSE)</f>
        <v>12</v>
      </c>
      <c r="AI21" s="232">
        <f>VLOOKUP($AE21,'Carotid Endarterectomy'!$A:$AB,26,FALSE)</f>
        <v>4</v>
      </c>
      <c r="AJ21" s="232">
        <f>VLOOKUP($AE21,'Carotid Endarterectomy'!$A:$AB,27,FALSE)</f>
        <v>1</v>
      </c>
      <c r="AK21" s="232">
        <f>VLOOKUP($AE21,'Carotid Endarterectomy'!$A:$AB,28,FALSE)</f>
        <v>14</v>
      </c>
    </row>
    <row r="22" spans="2:37" x14ac:dyDescent="0.25">
      <c r="AE22" s="221" t="s">
        <v>3</v>
      </c>
      <c r="AF22" s="211" t="s">
        <v>4</v>
      </c>
      <c r="AG22" s="128">
        <v>21</v>
      </c>
      <c r="AH22" s="232">
        <f>VLOOKUP($AE22,'Carotid Endarterectomy'!$A:$AB,25,FALSE)</f>
        <v>12</v>
      </c>
      <c r="AI22" s="232">
        <f>VLOOKUP($AE22,'Carotid Endarterectomy'!$A:$AB,26,FALSE)</f>
        <v>5</v>
      </c>
      <c r="AJ22" s="232">
        <f>VLOOKUP($AE22,'Carotid Endarterectomy'!$A:$AB,27,FALSE)</f>
        <v>4</v>
      </c>
      <c r="AK22" s="232">
        <f>VLOOKUP($AE22,'Carotid Endarterectomy'!$A:$AB,28,FALSE)</f>
        <v>14</v>
      </c>
    </row>
    <row r="23" spans="2:37" x14ac:dyDescent="0.25">
      <c r="AE23" s="221" t="s">
        <v>27</v>
      </c>
      <c r="AF23" s="211" t="s">
        <v>28</v>
      </c>
      <c r="AG23" s="128">
        <v>22</v>
      </c>
      <c r="AH23" s="232">
        <f>VLOOKUP($AE23,'Carotid Endarterectomy'!$A:$AB,25,FALSE)</f>
        <v>12</v>
      </c>
      <c r="AI23" s="232">
        <f>VLOOKUP($AE23,'Carotid Endarterectomy'!$A:$AB,26,FALSE)</f>
        <v>4</v>
      </c>
      <c r="AJ23" s="232">
        <f>VLOOKUP($AE23,'Carotid Endarterectomy'!$A:$AB,27,FALSE)</f>
        <v>5</v>
      </c>
      <c r="AK23" s="232">
        <f>VLOOKUP($AE23,'Carotid Endarterectomy'!$A:$AB,28,FALSE)</f>
        <v>14</v>
      </c>
    </row>
    <row r="24" spans="2:37" x14ac:dyDescent="0.25">
      <c r="AE24" s="221" t="s">
        <v>117</v>
      </c>
      <c r="AF24" s="211" t="s">
        <v>118</v>
      </c>
      <c r="AG24" s="128">
        <v>23</v>
      </c>
      <c r="AH24" s="232">
        <f>VLOOKUP($AE24,'Carotid Endarterectomy'!$A:$AB,25,FALSE)</f>
        <v>12</v>
      </c>
      <c r="AI24" s="232">
        <f>VLOOKUP($AE24,'Carotid Endarterectomy'!$A:$AB,26,FALSE)</f>
        <v>3</v>
      </c>
      <c r="AJ24" s="232">
        <f>VLOOKUP($AE24,'Carotid Endarterectomy'!$A:$AB,27,FALSE)</f>
        <v>5</v>
      </c>
      <c r="AK24" s="232">
        <f>VLOOKUP($AE24,'Carotid Endarterectomy'!$A:$AB,28,FALSE)</f>
        <v>14</v>
      </c>
    </row>
    <row r="25" spans="2:37" x14ac:dyDescent="0.25">
      <c r="AE25" s="221" t="s">
        <v>56</v>
      </c>
      <c r="AF25" s="211" t="s">
        <v>57</v>
      </c>
      <c r="AG25" s="128">
        <v>24</v>
      </c>
      <c r="AH25" s="232">
        <f>VLOOKUP($AE25,'Carotid Endarterectomy'!$A:$AB,25,FALSE)</f>
        <v>12</v>
      </c>
      <c r="AI25" s="232">
        <f>VLOOKUP($AE25,'Carotid Endarterectomy'!$A:$AB,26,FALSE)</f>
        <v>4</v>
      </c>
      <c r="AJ25" s="232">
        <f>VLOOKUP($AE25,'Carotid Endarterectomy'!$A:$AB,27,FALSE)</f>
        <v>14</v>
      </c>
      <c r="AK25" s="232">
        <f>VLOOKUP($AE25,'Carotid Endarterectomy'!$A:$AB,28,FALSE)</f>
        <v>14</v>
      </c>
    </row>
    <row r="26" spans="2:37" x14ac:dyDescent="0.25">
      <c r="AE26" s="221" t="s">
        <v>77</v>
      </c>
      <c r="AF26" s="211" t="s">
        <v>78</v>
      </c>
      <c r="AG26" s="128">
        <v>25</v>
      </c>
      <c r="AH26" s="232">
        <f>VLOOKUP($AE26,'Carotid Endarterectomy'!$A:$AB,25,FALSE)</f>
        <v>13</v>
      </c>
      <c r="AI26" s="232">
        <f>VLOOKUP($AE26,'Carotid Endarterectomy'!$A:$AB,26,FALSE)</f>
        <v>3</v>
      </c>
      <c r="AJ26" s="232">
        <f>VLOOKUP($AE26,'Carotid Endarterectomy'!$A:$AB,27,FALSE)</f>
        <v>1</v>
      </c>
      <c r="AK26" s="232">
        <f>VLOOKUP($AE26,'Carotid Endarterectomy'!$A:$AB,28,FALSE)</f>
        <v>14</v>
      </c>
    </row>
    <row r="27" spans="2:37" ht="15.75" thickBot="1" x14ac:dyDescent="0.3">
      <c r="AE27" s="221" t="s">
        <v>99</v>
      </c>
      <c r="AF27" s="211" t="s">
        <v>100</v>
      </c>
      <c r="AG27" s="128">
        <v>26</v>
      </c>
      <c r="AH27" s="232">
        <f>VLOOKUP($AE27,'Carotid Endarterectomy'!$A:$AB,25,FALSE)</f>
        <v>13</v>
      </c>
      <c r="AI27" s="232">
        <f>VLOOKUP($AE27,'Carotid Endarterectomy'!$A:$AB,26,FALSE)</f>
        <v>4</v>
      </c>
      <c r="AJ27" s="232">
        <f>VLOOKUP($AE27,'Carotid Endarterectomy'!$A:$AB,27,FALSE)</f>
        <v>3</v>
      </c>
      <c r="AK27" s="232">
        <f>VLOOKUP($AE27,'Carotid Endarterectomy'!$A:$AB,28,FALSE)</f>
        <v>14</v>
      </c>
    </row>
    <row r="28" spans="2:37" ht="60.75" thickBot="1" x14ac:dyDescent="0.3">
      <c r="B28" s="14" t="s">
        <v>139</v>
      </c>
      <c r="C28" s="14" t="s">
        <v>140</v>
      </c>
      <c r="D28" s="15" t="s">
        <v>141</v>
      </c>
      <c r="E28" s="14" t="s">
        <v>146</v>
      </c>
      <c r="F28" s="15" t="s">
        <v>142</v>
      </c>
      <c r="G28" s="15" t="s">
        <v>143</v>
      </c>
      <c r="H28" s="15" t="s">
        <v>144</v>
      </c>
      <c r="I28" s="14" t="s">
        <v>655</v>
      </c>
      <c r="J28" s="14" t="s">
        <v>147</v>
      </c>
      <c r="K28" s="14" t="s">
        <v>157</v>
      </c>
      <c r="AE28" s="221" t="s">
        <v>0</v>
      </c>
      <c r="AF28" s="211" t="s">
        <v>1</v>
      </c>
      <c r="AG28" s="128">
        <v>27</v>
      </c>
      <c r="AH28" s="232">
        <f>VLOOKUP($AE28,'Carotid Endarterectomy'!$A:$AB,25,FALSE)</f>
        <v>13</v>
      </c>
      <c r="AI28" s="232">
        <f>VLOOKUP($AE28,'Carotid Endarterectomy'!$A:$AB,26,FALSE)</f>
        <v>2</v>
      </c>
      <c r="AJ28" s="232">
        <f>VLOOKUP($AE28,'Carotid Endarterectomy'!$A:$AB,27,FALSE)</f>
        <v>4</v>
      </c>
      <c r="AK28" s="232">
        <f>VLOOKUP($AE28,'Carotid Endarterectomy'!$A:$AB,28,FALSE)</f>
        <v>14</v>
      </c>
    </row>
    <row r="29" spans="2:37" ht="15.75" thickBot="1" x14ac:dyDescent="0.3">
      <c r="B29" s="16" t="str">
        <f>B1</f>
        <v>Barking, Havering and Redbridge University Hospitals NHS Trust</v>
      </c>
      <c r="C29" s="17" t="str">
        <f>VLOOKUP($B29,'Carotid Endarterectomy'!$B:$K,10,FALSE)</f>
        <v>RF4</v>
      </c>
      <c r="D29" s="18">
        <f>VLOOKUP($B29,'Carotid Endarterectomy'!$B:$J,2,FALSE)</f>
        <v>25</v>
      </c>
      <c r="E29" s="18">
        <f>VLOOKUP($B29,'Carotid Endarterectomy'!$B:$K,3,FALSE)</f>
        <v>25</v>
      </c>
      <c r="F29" s="19">
        <f>VLOOKUP($B29,'Carotid Endarterectomy'!$B:$K,4,FALSE)</f>
        <v>0.56000000000000005</v>
      </c>
      <c r="G29" s="19">
        <f>VLOOKUP($B29,'Carotid Endarterectomy'!$B:$K,5,FALSE)</f>
        <v>0.36</v>
      </c>
      <c r="H29" s="19">
        <f>VLOOKUP($B29,'Carotid Endarterectomy'!$B:$K,6,FALSE)</f>
        <v>0.36</v>
      </c>
      <c r="I29" s="20">
        <f>VLOOKUP($B29,'Carotid Endarterectomy'!$B:$K,9,FALSE)</f>
        <v>1.2999999999999999E-2</v>
      </c>
      <c r="J29" s="17" t="str">
        <f>VLOOKUP($B29,'Carotid Endarterectomy'!$B:$K,7,FALSE)</f>
        <v>19 (11 - 36)</v>
      </c>
      <c r="K29" s="17" t="str">
        <f>VLOOKUP($B29,'Carotid Endarterectomy'!$B:$K,8,FALSE)</f>
        <v>2 (2 - 4)</v>
      </c>
      <c r="AE29" s="221" t="s">
        <v>15</v>
      </c>
      <c r="AF29" s="211" t="s">
        <v>16</v>
      </c>
      <c r="AG29" s="128">
        <v>28</v>
      </c>
      <c r="AH29" s="232">
        <f>VLOOKUP($AE29,'Carotid Endarterectomy'!$A:$AB,25,FALSE)</f>
        <v>13</v>
      </c>
      <c r="AI29" s="232">
        <f>VLOOKUP($AE29,'Carotid Endarterectomy'!$A:$AB,26,FALSE)</f>
        <v>3</v>
      </c>
      <c r="AJ29" s="232">
        <f>VLOOKUP($AE29,'Carotid Endarterectomy'!$A:$AB,27,FALSE)</f>
        <v>6</v>
      </c>
      <c r="AK29" s="232">
        <f>VLOOKUP($AE29,'Carotid Endarterectomy'!$A:$AB,28,FALSE)</f>
        <v>14</v>
      </c>
    </row>
    <row r="30" spans="2:37" ht="15.75" thickBot="1" x14ac:dyDescent="0.3">
      <c r="B30" s="241" t="s">
        <v>230</v>
      </c>
      <c r="C30" s="241"/>
      <c r="D30" s="43">
        <v>3257</v>
      </c>
      <c r="E30" s="134">
        <v>3083</v>
      </c>
      <c r="F30" s="123">
        <v>0.71</v>
      </c>
      <c r="G30" s="123">
        <v>0.41</v>
      </c>
      <c r="H30" s="46">
        <v>0.52</v>
      </c>
      <c r="I30" s="45">
        <v>2.1000000000000001E-2</v>
      </c>
      <c r="J30" s="44" t="s">
        <v>713</v>
      </c>
      <c r="K30" s="44" t="s">
        <v>172</v>
      </c>
      <c r="AE30" s="221" t="s">
        <v>109</v>
      </c>
      <c r="AF30" s="211" t="s">
        <v>110</v>
      </c>
      <c r="AG30" s="128">
        <v>29</v>
      </c>
      <c r="AH30" s="232">
        <f>VLOOKUP($AE30,'Carotid Endarterectomy'!$A:$AB,25,FALSE)</f>
        <v>13</v>
      </c>
      <c r="AI30" s="232">
        <f>VLOOKUP($AE30,'Carotid Endarterectomy'!$A:$AB,26,FALSE)</f>
        <v>3</v>
      </c>
      <c r="AJ30" s="232">
        <f>VLOOKUP($AE30,'Carotid Endarterectomy'!$A:$AB,27,FALSE)</f>
        <v>9</v>
      </c>
      <c r="AK30" s="232">
        <f>VLOOKUP($AE30,'Carotid Endarterectomy'!$A:$AB,28,FALSE)</f>
        <v>14</v>
      </c>
    </row>
    <row r="31" spans="2:37" x14ac:dyDescent="0.25">
      <c r="AE31" s="221" t="s">
        <v>85</v>
      </c>
      <c r="AF31" s="211" t="s">
        <v>86</v>
      </c>
      <c r="AG31" s="128">
        <v>30</v>
      </c>
      <c r="AH31" s="232">
        <f>VLOOKUP($AE31,'Carotid Endarterectomy'!$A:$AB,25,FALSE)</f>
        <v>13</v>
      </c>
      <c r="AI31" s="232">
        <f>VLOOKUP($AE31,'Carotid Endarterectomy'!$A:$AB,26,FALSE)</f>
        <v>6</v>
      </c>
      <c r="AJ31" s="232">
        <f>VLOOKUP($AE31,'Carotid Endarterectomy'!$A:$AB,27,FALSE)</f>
        <v>14</v>
      </c>
      <c r="AK31" s="232">
        <f>VLOOKUP($AE31,'Carotid Endarterectomy'!$A:$AB,28,FALSE)</f>
        <v>14</v>
      </c>
    </row>
    <row r="32" spans="2:37" x14ac:dyDescent="0.25">
      <c r="AE32" s="221" t="s">
        <v>133</v>
      </c>
      <c r="AF32" s="211" t="s">
        <v>134</v>
      </c>
      <c r="AG32" s="128">
        <v>31</v>
      </c>
      <c r="AH32" s="232">
        <f>VLOOKUP($AE32,'Carotid Endarterectomy'!$A:$AB,25,FALSE)</f>
        <v>14</v>
      </c>
      <c r="AI32" s="232">
        <f>VLOOKUP($AE32,'Carotid Endarterectomy'!$A:$AB,26,FALSE)</f>
        <v>3</v>
      </c>
      <c r="AJ32" s="232">
        <f>VLOOKUP($AE32,'Carotid Endarterectomy'!$A:$AB,27,FALSE)</f>
        <v>4</v>
      </c>
      <c r="AK32" s="232">
        <f>VLOOKUP($AE32,'Carotid Endarterectomy'!$A:$AB,28,FALSE)</f>
        <v>14</v>
      </c>
    </row>
    <row r="33" spans="8:37" x14ac:dyDescent="0.25">
      <c r="H33" s="42"/>
      <c r="AE33" s="221" t="s">
        <v>37</v>
      </c>
      <c r="AF33" s="211" t="s">
        <v>596</v>
      </c>
      <c r="AG33" s="128">
        <v>32</v>
      </c>
      <c r="AH33" s="232">
        <f>VLOOKUP($AE33,'Carotid Endarterectomy'!$A:$AB,25,FALSE)</f>
        <v>14</v>
      </c>
      <c r="AI33" s="232">
        <f>VLOOKUP($AE33,'Carotid Endarterectomy'!$A:$AB,26,FALSE)</f>
        <v>6</v>
      </c>
      <c r="AJ33" s="232">
        <f>VLOOKUP($AE33,'Carotid Endarterectomy'!$A:$AB,27,FALSE)</f>
        <v>7</v>
      </c>
      <c r="AK33" s="232">
        <f>VLOOKUP($AE33,'Carotid Endarterectomy'!$A:$AB,28,FALSE)</f>
        <v>14</v>
      </c>
    </row>
    <row r="34" spans="8:37" x14ac:dyDescent="0.25">
      <c r="H34" s="42"/>
      <c r="AE34" s="221" t="s">
        <v>90</v>
      </c>
      <c r="AF34" s="211" t="s">
        <v>91</v>
      </c>
      <c r="AG34" s="128">
        <v>33</v>
      </c>
      <c r="AH34" s="232">
        <f>VLOOKUP($AE34,'Carotid Endarterectomy'!$A:$AB,25,FALSE)</f>
        <v>14</v>
      </c>
      <c r="AI34" s="232">
        <f>VLOOKUP($AE34,'Carotid Endarterectomy'!$A:$AB,26,FALSE)</f>
        <v>6</v>
      </c>
      <c r="AJ34" s="232">
        <f>VLOOKUP($AE34,'Carotid Endarterectomy'!$A:$AB,27,FALSE)</f>
        <v>7</v>
      </c>
      <c r="AK34" s="232">
        <f>VLOOKUP($AE34,'Carotid Endarterectomy'!$A:$AB,28,FALSE)</f>
        <v>14</v>
      </c>
    </row>
    <row r="35" spans="8:37" x14ac:dyDescent="0.25">
      <c r="AE35" s="221" t="s">
        <v>75</v>
      </c>
      <c r="AF35" s="211" t="s">
        <v>76</v>
      </c>
      <c r="AG35" s="128">
        <v>34</v>
      </c>
      <c r="AH35" s="232">
        <f>VLOOKUP($AE35,'Carotid Endarterectomy'!$A:$AB,25,FALSE)</f>
        <v>14</v>
      </c>
      <c r="AI35" s="232">
        <f>VLOOKUP($AE35,'Carotid Endarterectomy'!$A:$AB,26,FALSE)</f>
        <v>4</v>
      </c>
      <c r="AJ35" s="232">
        <f>VLOOKUP($AE35,'Carotid Endarterectomy'!$A:$AB,27,FALSE)</f>
        <v>7</v>
      </c>
      <c r="AK35" s="232">
        <f>VLOOKUP($AE35,'Carotid Endarterectomy'!$A:$AB,28,FALSE)</f>
        <v>14</v>
      </c>
    </row>
    <row r="36" spans="8:37" x14ac:dyDescent="0.25">
      <c r="AE36" s="221" t="s">
        <v>83</v>
      </c>
      <c r="AF36" s="211" t="s">
        <v>84</v>
      </c>
      <c r="AG36" s="128">
        <v>35</v>
      </c>
      <c r="AH36" s="232">
        <f>VLOOKUP($AE36,'Carotid Endarterectomy'!$A:$AB,25,FALSE)</f>
        <v>14</v>
      </c>
      <c r="AI36" s="232">
        <f>VLOOKUP($AE36,'Carotid Endarterectomy'!$A:$AB,26,FALSE)</f>
        <v>4</v>
      </c>
      <c r="AJ36" s="232">
        <f>VLOOKUP($AE36,'Carotid Endarterectomy'!$A:$AB,27,FALSE)</f>
        <v>7</v>
      </c>
      <c r="AK36" s="232">
        <f>VLOOKUP($AE36,'Carotid Endarterectomy'!$A:$AB,28,FALSE)</f>
        <v>14</v>
      </c>
    </row>
    <row r="37" spans="8:37" x14ac:dyDescent="0.25">
      <c r="AE37" s="221" t="s">
        <v>348</v>
      </c>
      <c r="AF37" s="211" t="s">
        <v>349</v>
      </c>
      <c r="AG37" s="128">
        <v>36</v>
      </c>
      <c r="AH37" s="232">
        <f>VLOOKUP($AE37,'Carotid Endarterectomy'!$A:$AB,25,FALSE)</f>
        <v>14</v>
      </c>
      <c r="AI37" s="232">
        <f>VLOOKUP($AE37,'Carotid Endarterectomy'!$A:$AB,26,FALSE)</f>
        <v>4</v>
      </c>
      <c r="AJ37" s="232">
        <f>VLOOKUP($AE37,'Carotid Endarterectomy'!$A:$AB,27,FALSE)</f>
        <v>8</v>
      </c>
      <c r="AK37" s="232">
        <f>VLOOKUP($AE37,'Carotid Endarterectomy'!$A:$AB,28,FALSE)</f>
        <v>14</v>
      </c>
    </row>
    <row r="38" spans="8:37" x14ac:dyDescent="0.25">
      <c r="AE38" s="221" t="s">
        <v>336</v>
      </c>
      <c r="AF38" s="211" t="s">
        <v>337</v>
      </c>
      <c r="AG38" s="128">
        <v>37</v>
      </c>
      <c r="AH38" s="232">
        <f>VLOOKUP($AE38,'Carotid Endarterectomy'!$A:$AB,25,FALSE)</f>
        <v>14</v>
      </c>
      <c r="AI38" s="232">
        <f>VLOOKUP($AE38,'Carotid Endarterectomy'!$A:$AB,26,FALSE)</f>
        <v>4</v>
      </c>
      <c r="AJ38" s="232">
        <f>VLOOKUP($AE38,'Carotid Endarterectomy'!$A:$AB,27,FALSE)</f>
        <v>11</v>
      </c>
      <c r="AK38" s="232">
        <f>VLOOKUP($AE38,'Carotid Endarterectomy'!$A:$AB,28,FALSE)</f>
        <v>14</v>
      </c>
    </row>
    <row r="39" spans="8:37" x14ac:dyDescent="0.25">
      <c r="AE39" s="221" t="s">
        <v>96</v>
      </c>
      <c r="AF39" s="211" t="s">
        <v>294</v>
      </c>
      <c r="AG39" s="128">
        <v>38</v>
      </c>
      <c r="AH39" s="232">
        <f>VLOOKUP($AE39,'Carotid Endarterectomy'!$A:$AB,25,FALSE)</f>
        <v>14</v>
      </c>
      <c r="AI39" s="232">
        <f>VLOOKUP($AE39,'Carotid Endarterectomy'!$A:$AB,26,FALSE)</f>
        <v>6</v>
      </c>
      <c r="AJ39" s="232">
        <f>VLOOKUP($AE39,'Carotid Endarterectomy'!$A:$AB,27,FALSE)</f>
        <v>12</v>
      </c>
      <c r="AK39" s="232">
        <f>VLOOKUP($AE39,'Carotid Endarterectomy'!$A:$AB,28,FALSE)</f>
        <v>14</v>
      </c>
    </row>
    <row r="40" spans="8:37" x14ac:dyDescent="0.25">
      <c r="AE40" s="221" t="s">
        <v>129</v>
      </c>
      <c r="AF40" s="211" t="s">
        <v>130</v>
      </c>
      <c r="AG40" s="128">
        <v>39</v>
      </c>
      <c r="AH40" s="232">
        <f>VLOOKUP($AE40,'Carotid Endarterectomy'!$A:$AB,25,FALSE)</f>
        <v>14</v>
      </c>
      <c r="AI40" s="232">
        <f>VLOOKUP($AE40,'Carotid Endarterectomy'!$A:$AB,26,FALSE)</f>
        <v>8</v>
      </c>
      <c r="AJ40" s="232">
        <f>VLOOKUP($AE40,'Carotid Endarterectomy'!$A:$AB,27,FALSE)</f>
        <v>23</v>
      </c>
      <c r="AK40" s="232">
        <f>VLOOKUP($AE40,'Carotid Endarterectomy'!$A:$AB,28,FALSE)</f>
        <v>14</v>
      </c>
    </row>
    <row r="41" spans="8:37" x14ac:dyDescent="0.25">
      <c r="AE41" s="221" t="s">
        <v>39</v>
      </c>
      <c r="AF41" s="211" t="s">
        <v>40</v>
      </c>
      <c r="AG41" s="128">
        <v>40</v>
      </c>
      <c r="AH41" s="232">
        <f>VLOOKUP($AE41,'Carotid Endarterectomy'!$A:$AB,25,FALSE)</f>
        <v>15</v>
      </c>
      <c r="AI41" s="232">
        <f>VLOOKUP($AE41,'Carotid Endarterectomy'!$A:$AB,26,FALSE)</f>
        <v>4</v>
      </c>
      <c r="AJ41" s="232">
        <f>VLOOKUP($AE41,'Carotid Endarterectomy'!$A:$AB,27,FALSE)</f>
        <v>9</v>
      </c>
      <c r="AK41" s="232">
        <f>VLOOKUP($AE41,'Carotid Endarterectomy'!$A:$AB,28,FALSE)</f>
        <v>14</v>
      </c>
    </row>
    <row r="42" spans="8:37" x14ac:dyDescent="0.25">
      <c r="AE42" s="221" t="s">
        <v>127</v>
      </c>
      <c r="AF42" s="211" t="s">
        <v>128</v>
      </c>
      <c r="AG42" s="128">
        <v>41</v>
      </c>
      <c r="AH42" s="232">
        <f>VLOOKUP($AE42,'Carotid Endarterectomy'!$A:$AB,25,FALSE)</f>
        <v>15</v>
      </c>
      <c r="AI42" s="232">
        <f>VLOOKUP($AE42,'Carotid Endarterectomy'!$A:$AB,26,FALSE)</f>
        <v>3</v>
      </c>
      <c r="AJ42" s="232">
        <f>VLOOKUP($AE42,'Carotid Endarterectomy'!$A:$AB,27,FALSE)</f>
        <v>11</v>
      </c>
      <c r="AK42" s="232">
        <f>VLOOKUP($AE42,'Carotid Endarterectomy'!$A:$AB,28,FALSE)</f>
        <v>14</v>
      </c>
    </row>
    <row r="43" spans="8:37" x14ac:dyDescent="0.25">
      <c r="AE43" s="221" t="s">
        <v>55</v>
      </c>
      <c r="AF43" s="211" t="s">
        <v>159</v>
      </c>
      <c r="AG43" s="128">
        <v>42</v>
      </c>
      <c r="AH43" s="232">
        <f>VLOOKUP($AE43,'Carotid Endarterectomy'!$A:$AB,25,FALSE)</f>
        <v>15</v>
      </c>
      <c r="AI43" s="232">
        <f>VLOOKUP($AE43,'Carotid Endarterectomy'!$A:$AB,26,FALSE)</f>
        <v>7</v>
      </c>
      <c r="AJ43" s="232">
        <f>VLOOKUP($AE43,'Carotid Endarterectomy'!$A:$AB,27,FALSE)</f>
        <v>13</v>
      </c>
      <c r="AK43" s="232">
        <f>VLOOKUP($AE43,'Carotid Endarterectomy'!$A:$AB,28,FALSE)</f>
        <v>14</v>
      </c>
    </row>
    <row r="44" spans="8:37" x14ac:dyDescent="0.25">
      <c r="AE44" s="221" t="s">
        <v>88</v>
      </c>
      <c r="AF44" s="211" t="s">
        <v>298</v>
      </c>
      <c r="AG44" s="128">
        <v>43</v>
      </c>
      <c r="AH44" s="232">
        <f>VLOOKUP($AE44,'Carotid Endarterectomy'!$A:$AB,25,FALSE)</f>
        <v>15</v>
      </c>
      <c r="AI44" s="232">
        <f>VLOOKUP($AE44,'Carotid Endarterectomy'!$A:$AB,26,FALSE)</f>
        <v>5</v>
      </c>
      <c r="AJ44" s="232">
        <f>VLOOKUP($AE44,'Carotid Endarterectomy'!$A:$AB,27,FALSE)</f>
        <v>14</v>
      </c>
      <c r="AK44" s="232">
        <f>VLOOKUP($AE44,'Carotid Endarterectomy'!$A:$AB,28,FALSE)</f>
        <v>14</v>
      </c>
    </row>
    <row r="45" spans="8:37" x14ac:dyDescent="0.25">
      <c r="AE45" s="221" t="s">
        <v>64</v>
      </c>
      <c r="AF45" s="211" t="s">
        <v>65</v>
      </c>
      <c r="AG45" s="128">
        <v>44</v>
      </c>
      <c r="AH45" s="232">
        <f>VLOOKUP($AE45,'Carotid Endarterectomy'!$A:$AB,25,FALSE)</f>
        <v>16</v>
      </c>
      <c r="AI45" s="232">
        <f>VLOOKUP($AE45,'Carotid Endarterectomy'!$A:$AB,26,FALSE)</f>
        <v>7</v>
      </c>
      <c r="AJ45" s="232">
        <f>VLOOKUP($AE45,'Carotid Endarterectomy'!$A:$AB,27,FALSE)</f>
        <v>5</v>
      </c>
      <c r="AK45" s="232">
        <f>VLOOKUP($AE45,'Carotid Endarterectomy'!$A:$AB,28,FALSE)</f>
        <v>14</v>
      </c>
    </row>
    <row r="46" spans="8:37" x14ac:dyDescent="0.25">
      <c r="AE46" s="221" t="s">
        <v>2</v>
      </c>
      <c r="AF46" s="211" t="s">
        <v>158</v>
      </c>
      <c r="AG46" s="128">
        <v>45</v>
      </c>
      <c r="AH46" s="232">
        <f>VLOOKUP($AE46,'Carotid Endarterectomy'!$A:$AB,25,FALSE)</f>
        <v>16</v>
      </c>
      <c r="AI46" s="232">
        <f>VLOOKUP($AE46,'Carotid Endarterectomy'!$A:$AB,26,FALSE)</f>
        <v>6</v>
      </c>
      <c r="AJ46" s="232">
        <f>VLOOKUP($AE46,'Carotid Endarterectomy'!$A:$AB,27,FALSE)</f>
        <v>6</v>
      </c>
      <c r="AK46" s="232">
        <f>VLOOKUP($AE46,'Carotid Endarterectomy'!$A:$AB,28,FALSE)</f>
        <v>14</v>
      </c>
    </row>
    <row r="47" spans="8:37" x14ac:dyDescent="0.25">
      <c r="AE47" s="221" t="s">
        <v>119</v>
      </c>
      <c r="AF47" s="211" t="s">
        <v>120</v>
      </c>
      <c r="AG47" s="128">
        <v>46</v>
      </c>
      <c r="AH47" s="232">
        <f>VLOOKUP($AE47,'Carotid Endarterectomy'!$A:$AB,25,FALSE)</f>
        <v>16</v>
      </c>
      <c r="AI47" s="232">
        <f>VLOOKUP($AE47,'Carotid Endarterectomy'!$A:$AB,26,FALSE)</f>
        <v>6</v>
      </c>
      <c r="AJ47" s="232">
        <f>VLOOKUP($AE47,'Carotid Endarterectomy'!$A:$AB,27,FALSE)</f>
        <v>33</v>
      </c>
      <c r="AK47" s="232">
        <f>VLOOKUP($AE47,'Carotid Endarterectomy'!$A:$AB,28,FALSE)</f>
        <v>14</v>
      </c>
    </row>
    <row r="48" spans="8:37" x14ac:dyDescent="0.25">
      <c r="AE48" s="221" t="s">
        <v>51</v>
      </c>
      <c r="AF48" s="211" t="s">
        <v>52</v>
      </c>
      <c r="AG48" s="128">
        <v>47</v>
      </c>
      <c r="AH48" s="232">
        <f>VLOOKUP($AE48,'Carotid Endarterectomy'!$A:$AB,25,FALSE)</f>
        <v>17</v>
      </c>
      <c r="AI48" s="232">
        <f>VLOOKUP($AE48,'Carotid Endarterectomy'!$A:$AB,26,FALSE)</f>
        <v>4</v>
      </c>
      <c r="AJ48" s="232">
        <f>VLOOKUP($AE48,'Carotid Endarterectomy'!$A:$AB,27,FALSE)</f>
        <v>14</v>
      </c>
      <c r="AK48" s="232">
        <f>VLOOKUP($AE48,'Carotid Endarterectomy'!$A:$AB,28,FALSE)</f>
        <v>14</v>
      </c>
    </row>
    <row r="49" spans="31:37" x14ac:dyDescent="0.25">
      <c r="AE49" s="221" t="s">
        <v>53</v>
      </c>
      <c r="AF49" s="211" t="s">
        <v>54</v>
      </c>
      <c r="AG49" s="128">
        <v>48</v>
      </c>
      <c r="AH49" s="232">
        <f>VLOOKUP($AE49,'Carotid Endarterectomy'!$A:$AB,25,FALSE)</f>
        <v>17</v>
      </c>
      <c r="AI49" s="232">
        <f>VLOOKUP($AE49,'Carotid Endarterectomy'!$A:$AB,26,FALSE)</f>
        <v>10</v>
      </c>
      <c r="AJ49" s="232">
        <f>VLOOKUP($AE49,'Carotid Endarterectomy'!$A:$AB,27,FALSE)</f>
        <v>19</v>
      </c>
      <c r="AK49" s="232">
        <f>VLOOKUP($AE49,'Carotid Endarterectomy'!$A:$AB,28,FALSE)</f>
        <v>14</v>
      </c>
    </row>
    <row r="50" spans="31:37" x14ac:dyDescent="0.25">
      <c r="AE50" s="221" t="s">
        <v>24</v>
      </c>
      <c r="AF50" s="211" t="s">
        <v>160</v>
      </c>
      <c r="AG50" s="128">
        <v>49</v>
      </c>
      <c r="AH50" s="232">
        <f>VLOOKUP($AE50,'Carotid Endarterectomy'!$A:$AB,25,FALSE)</f>
        <v>17</v>
      </c>
      <c r="AI50" s="232">
        <f>VLOOKUP($AE50,'Carotid Endarterectomy'!$A:$AB,26,FALSE)</f>
        <v>6</v>
      </c>
      <c r="AJ50" s="232">
        <f>VLOOKUP($AE50,'Carotid Endarterectomy'!$A:$AB,27,FALSE)</f>
        <v>26</v>
      </c>
      <c r="AK50" s="232">
        <f>VLOOKUP($AE50,'Carotid Endarterectomy'!$A:$AB,28,FALSE)</f>
        <v>14</v>
      </c>
    </row>
    <row r="51" spans="31:37" x14ac:dyDescent="0.25">
      <c r="AE51" s="221" t="s">
        <v>417</v>
      </c>
      <c r="AF51" s="211" t="s">
        <v>418</v>
      </c>
      <c r="AG51" s="128">
        <v>50</v>
      </c>
      <c r="AH51" s="232">
        <f>VLOOKUP($AE51,'Carotid Endarterectomy'!$A:$AB,25,FALSE)</f>
        <v>18</v>
      </c>
      <c r="AI51" s="232">
        <f>VLOOKUP($AE51,'Carotid Endarterectomy'!$A:$AB,26,FALSE)</f>
        <v>7</v>
      </c>
      <c r="AJ51" s="232">
        <f>VLOOKUP($AE51,'Carotid Endarterectomy'!$A:$AB,27,FALSE)</f>
        <v>8</v>
      </c>
      <c r="AK51" s="232">
        <f>VLOOKUP($AE51,'Carotid Endarterectomy'!$A:$AB,28,FALSE)</f>
        <v>14</v>
      </c>
    </row>
    <row r="52" spans="31:37" x14ac:dyDescent="0.25">
      <c r="AE52" s="221" t="s">
        <v>66</v>
      </c>
      <c r="AF52" s="211" t="s">
        <v>67</v>
      </c>
      <c r="AG52" s="128">
        <v>51</v>
      </c>
      <c r="AH52" s="232">
        <f>VLOOKUP($AE52,'Carotid Endarterectomy'!$A:$AB,25,FALSE)</f>
        <v>18</v>
      </c>
      <c r="AI52" s="232">
        <f>VLOOKUP($AE52,'Carotid Endarterectomy'!$A:$AB,26,FALSE)</f>
        <v>8</v>
      </c>
      <c r="AJ52" s="232">
        <f>VLOOKUP($AE52,'Carotid Endarterectomy'!$A:$AB,27,FALSE)</f>
        <v>21</v>
      </c>
      <c r="AK52" s="232">
        <f>VLOOKUP($AE52,'Carotid Endarterectomy'!$A:$AB,28,FALSE)</f>
        <v>14</v>
      </c>
    </row>
    <row r="53" spans="31:37" x14ac:dyDescent="0.25">
      <c r="AE53" s="221" t="s">
        <v>429</v>
      </c>
      <c r="AF53" s="211" t="s">
        <v>430</v>
      </c>
      <c r="AG53" s="128">
        <v>52</v>
      </c>
      <c r="AH53" s="232">
        <f>VLOOKUP($AE53,'Carotid Endarterectomy'!$A:$AB,25,FALSE)</f>
        <v>18</v>
      </c>
      <c r="AI53" s="232">
        <f>VLOOKUP($AE53,'Carotid Endarterectomy'!$A:$AB,26,FALSE)</f>
        <v>9</v>
      </c>
      <c r="AJ53" s="232">
        <f>VLOOKUP($AE53,'Carotid Endarterectomy'!$A:$AB,27,FALSE)</f>
        <v>38</v>
      </c>
      <c r="AK53" s="232">
        <f>VLOOKUP($AE53,'Carotid Endarterectomy'!$A:$AB,28,FALSE)</f>
        <v>14</v>
      </c>
    </row>
    <row r="54" spans="31:37" x14ac:dyDescent="0.25">
      <c r="AE54" s="221" t="s">
        <v>125</v>
      </c>
      <c r="AF54" s="211" t="s">
        <v>126</v>
      </c>
      <c r="AG54" s="128">
        <v>53</v>
      </c>
      <c r="AH54" s="232">
        <f>VLOOKUP($AE54,'Carotid Endarterectomy'!$A:$AB,25,FALSE)</f>
        <v>19</v>
      </c>
      <c r="AI54" s="232">
        <f>VLOOKUP($AE54,'Carotid Endarterectomy'!$A:$AB,26,FALSE)</f>
        <v>7</v>
      </c>
      <c r="AJ54" s="232">
        <f>VLOOKUP($AE54,'Carotid Endarterectomy'!$A:$AB,27,FALSE)</f>
        <v>8</v>
      </c>
      <c r="AK54" s="232">
        <f>VLOOKUP($AE54,'Carotid Endarterectomy'!$A:$AB,28,FALSE)</f>
        <v>14</v>
      </c>
    </row>
    <row r="55" spans="31:37" x14ac:dyDescent="0.25">
      <c r="AE55" s="221" t="s">
        <v>29</v>
      </c>
      <c r="AF55" s="211" t="s">
        <v>295</v>
      </c>
      <c r="AG55" s="128">
        <v>54</v>
      </c>
      <c r="AH55" s="232">
        <f>VLOOKUP($AE55,'Carotid Endarterectomy'!$A:$AB,25,FALSE)</f>
        <v>19</v>
      </c>
      <c r="AI55" s="232">
        <f>VLOOKUP($AE55,'Carotid Endarterectomy'!$A:$AB,26,FALSE)</f>
        <v>6</v>
      </c>
      <c r="AJ55" s="232">
        <f>VLOOKUP($AE55,'Carotid Endarterectomy'!$A:$AB,27,FALSE)</f>
        <v>13</v>
      </c>
      <c r="AK55" s="232">
        <f>VLOOKUP($AE55,'Carotid Endarterectomy'!$A:$AB,28,FALSE)</f>
        <v>14</v>
      </c>
    </row>
    <row r="56" spans="31:37" x14ac:dyDescent="0.25">
      <c r="AE56" s="221" t="s">
        <v>30</v>
      </c>
      <c r="AF56" s="211" t="s">
        <v>291</v>
      </c>
      <c r="AG56" s="128">
        <v>55</v>
      </c>
      <c r="AH56" s="232">
        <f>VLOOKUP($AE56,'Carotid Endarterectomy'!$A:$AB,25,FALSE)</f>
        <v>19</v>
      </c>
      <c r="AI56" s="232">
        <f>VLOOKUP($AE56,'Carotid Endarterectomy'!$A:$AB,26,FALSE)</f>
        <v>8</v>
      </c>
      <c r="AJ56" s="232">
        <f>VLOOKUP($AE56,'Carotid Endarterectomy'!$A:$AB,27,FALSE)</f>
        <v>17</v>
      </c>
      <c r="AK56" s="232">
        <f>VLOOKUP($AE56,'Carotid Endarterectomy'!$A:$AB,28,FALSE)</f>
        <v>14</v>
      </c>
    </row>
    <row r="57" spans="31:37" x14ac:dyDescent="0.25">
      <c r="AE57" s="221" t="s">
        <v>45</v>
      </c>
      <c r="AF57" s="211" t="s">
        <v>46</v>
      </c>
      <c r="AG57" s="128">
        <v>56</v>
      </c>
      <c r="AH57" s="232">
        <f>VLOOKUP($AE57,'Carotid Endarterectomy'!$A:$AB,25,FALSE)</f>
        <v>19</v>
      </c>
      <c r="AI57" s="232">
        <f>VLOOKUP($AE57,'Carotid Endarterectomy'!$A:$AB,26,FALSE)</f>
        <v>5</v>
      </c>
      <c r="AJ57" s="232">
        <f>VLOOKUP($AE57,'Carotid Endarterectomy'!$A:$AB,27,FALSE)</f>
        <v>24</v>
      </c>
      <c r="AK57" s="232">
        <f>VLOOKUP($AE57,'Carotid Endarterectomy'!$A:$AB,28,FALSE)</f>
        <v>14</v>
      </c>
    </row>
    <row r="58" spans="31:37" x14ac:dyDescent="0.25">
      <c r="AE58" s="221" t="s">
        <v>18</v>
      </c>
      <c r="AF58" s="211" t="s">
        <v>19</v>
      </c>
      <c r="AG58" s="128">
        <v>57</v>
      </c>
      <c r="AH58" s="232">
        <f>VLOOKUP($AE58,'Carotid Endarterectomy'!$A:$AB,25,FALSE)</f>
        <v>20</v>
      </c>
      <c r="AI58" s="232">
        <f>VLOOKUP($AE58,'Carotid Endarterectomy'!$A:$AB,26,FALSE)</f>
        <v>6</v>
      </c>
      <c r="AJ58" s="232">
        <f>VLOOKUP($AE58,'Carotid Endarterectomy'!$A:$AB,27,FALSE)</f>
        <v>5</v>
      </c>
      <c r="AK58" s="232">
        <f>VLOOKUP($AE58,'Carotid Endarterectomy'!$A:$AB,28,FALSE)</f>
        <v>14</v>
      </c>
    </row>
    <row r="59" spans="31:37" x14ac:dyDescent="0.25">
      <c r="AE59" s="221" t="s">
        <v>41</v>
      </c>
      <c r="AF59" s="211" t="s">
        <v>42</v>
      </c>
      <c r="AG59" s="128">
        <v>58</v>
      </c>
      <c r="AH59" s="232">
        <f>VLOOKUP($AE59,'Carotid Endarterectomy'!$A:$AB,25,FALSE)</f>
        <v>20</v>
      </c>
      <c r="AI59" s="232">
        <f>VLOOKUP($AE59,'Carotid Endarterectomy'!$A:$AB,26,FALSE)</f>
        <v>9</v>
      </c>
      <c r="AJ59" s="232">
        <f>VLOOKUP($AE59,'Carotid Endarterectomy'!$A:$AB,27,FALSE)</f>
        <v>24</v>
      </c>
      <c r="AK59" s="232">
        <f>VLOOKUP($AE59,'Carotid Endarterectomy'!$A:$AB,28,FALSE)</f>
        <v>14</v>
      </c>
    </row>
    <row r="60" spans="31:37" x14ac:dyDescent="0.25">
      <c r="AE60" s="221" t="s">
        <v>137</v>
      </c>
      <c r="AF60" s="211" t="s">
        <v>138</v>
      </c>
      <c r="AG60" s="128">
        <v>59</v>
      </c>
      <c r="AH60" s="232">
        <f>VLOOKUP($AE60,'Carotid Endarterectomy'!$A:$AB,25,FALSE)</f>
        <v>21</v>
      </c>
      <c r="AI60" s="232">
        <f>VLOOKUP($AE60,'Carotid Endarterectomy'!$A:$AB,26,FALSE)</f>
        <v>11</v>
      </c>
      <c r="AJ60" s="232">
        <f>VLOOKUP($AE60,'Carotid Endarterectomy'!$A:$AB,27,FALSE)</f>
        <v>9</v>
      </c>
      <c r="AK60" s="232">
        <f>VLOOKUP($AE60,'Carotid Endarterectomy'!$A:$AB,28,FALSE)</f>
        <v>14</v>
      </c>
    </row>
    <row r="61" spans="31:37" x14ac:dyDescent="0.25">
      <c r="AE61" s="221" t="s">
        <v>35</v>
      </c>
      <c r="AF61" s="211" t="s">
        <v>36</v>
      </c>
      <c r="AG61" s="128">
        <v>60</v>
      </c>
      <c r="AH61" s="232">
        <f>VLOOKUP($AE61,'Carotid Endarterectomy'!$A:$AB,25,FALSE)</f>
        <v>21</v>
      </c>
      <c r="AI61" s="232">
        <f>VLOOKUP($AE61,'Carotid Endarterectomy'!$A:$AB,26,FALSE)</f>
        <v>9</v>
      </c>
      <c r="AJ61" s="232">
        <f>VLOOKUP($AE61,'Carotid Endarterectomy'!$A:$AB,27,FALSE)</f>
        <v>18</v>
      </c>
      <c r="AK61" s="232">
        <f>VLOOKUP($AE61,'Carotid Endarterectomy'!$A:$AB,28,FALSE)</f>
        <v>14</v>
      </c>
    </row>
    <row r="62" spans="31:37" x14ac:dyDescent="0.25">
      <c r="AE62" s="221" t="s">
        <v>113</v>
      </c>
      <c r="AF62" s="211" t="s">
        <v>114</v>
      </c>
      <c r="AG62" s="128">
        <v>61</v>
      </c>
      <c r="AH62" s="232">
        <f>VLOOKUP($AE62,'Carotid Endarterectomy'!$A:$AB,25,FALSE)</f>
        <v>22</v>
      </c>
      <c r="AI62" s="232">
        <f>VLOOKUP($AE62,'Carotid Endarterectomy'!$A:$AB,26,FALSE)</f>
        <v>7</v>
      </c>
      <c r="AJ62" s="232">
        <f>VLOOKUP($AE62,'Carotid Endarterectomy'!$A:$AB,27,FALSE)</f>
        <v>10</v>
      </c>
      <c r="AK62" s="232">
        <f>VLOOKUP($AE62,'Carotid Endarterectomy'!$A:$AB,28,FALSE)</f>
        <v>14</v>
      </c>
    </row>
    <row r="63" spans="31:37" x14ac:dyDescent="0.25">
      <c r="AE63" s="221" t="s">
        <v>333</v>
      </c>
      <c r="AF63" s="211" t="s">
        <v>334</v>
      </c>
      <c r="AG63" s="128">
        <v>62</v>
      </c>
      <c r="AH63" s="232">
        <f>VLOOKUP($AE63,'Carotid Endarterectomy'!$A:$AB,25,FALSE)</f>
        <v>22</v>
      </c>
      <c r="AI63" s="232">
        <f>VLOOKUP($AE63,'Carotid Endarterectomy'!$A:$AB,26,FALSE)</f>
        <v>8</v>
      </c>
      <c r="AJ63" s="232">
        <f>VLOOKUP($AE63,'Carotid Endarterectomy'!$A:$AB,27,FALSE)</f>
        <v>13</v>
      </c>
      <c r="AK63" s="232">
        <f>VLOOKUP($AE63,'Carotid Endarterectomy'!$A:$AB,28,FALSE)</f>
        <v>14</v>
      </c>
    </row>
    <row r="64" spans="31:37" x14ac:dyDescent="0.25">
      <c r="AE64" s="221" t="s">
        <v>8</v>
      </c>
      <c r="AF64" s="211" t="s">
        <v>9</v>
      </c>
      <c r="AG64" s="128">
        <v>63</v>
      </c>
      <c r="AH64" s="232">
        <f>VLOOKUP($AE64,'Carotid Endarterectomy'!$A:$AB,25,FALSE)</f>
        <v>23</v>
      </c>
      <c r="AI64" s="232">
        <f>VLOOKUP($AE64,'Carotid Endarterectomy'!$A:$AB,26,FALSE)</f>
        <v>8</v>
      </c>
      <c r="AJ64" s="232">
        <f>VLOOKUP($AE64,'Carotid Endarterectomy'!$A:$AB,27,FALSE)</f>
        <v>11</v>
      </c>
      <c r="AK64" s="232">
        <f>VLOOKUP($AE64,'Carotid Endarterectomy'!$A:$AB,28,FALSE)</f>
        <v>14</v>
      </c>
    </row>
    <row r="65" spans="31:37" x14ac:dyDescent="0.25">
      <c r="AE65" s="221" t="s">
        <v>97</v>
      </c>
      <c r="AF65" s="211" t="s">
        <v>98</v>
      </c>
      <c r="AG65" s="128">
        <v>64</v>
      </c>
      <c r="AH65" s="232">
        <f>VLOOKUP($AE65,'Carotid Endarterectomy'!$A:$AB,25,FALSE)</f>
        <v>24</v>
      </c>
      <c r="AI65" s="232">
        <f>VLOOKUP($AE65,'Carotid Endarterectomy'!$A:$AB,26,FALSE)</f>
        <v>8</v>
      </c>
      <c r="AJ65" s="232">
        <f>VLOOKUP($AE65,'Carotid Endarterectomy'!$A:$AB,27,FALSE)</f>
        <v>11</v>
      </c>
      <c r="AK65" s="232">
        <f>VLOOKUP($AE65,'Carotid Endarterectomy'!$A:$AB,28,FALSE)</f>
        <v>14</v>
      </c>
    </row>
    <row r="66" spans="31:37" x14ac:dyDescent="0.25">
      <c r="AE66" s="221" t="s">
        <v>69</v>
      </c>
      <c r="AF66" s="211" t="s">
        <v>70</v>
      </c>
      <c r="AG66" s="128">
        <v>65</v>
      </c>
      <c r="AH66" s="232">
        <f>VLOOKUP($AE66,'Carotid Endarterectomy'!$A:$AB,25,FALSE)</f>
        <v>25</v>
      </c>
      <c r="AI66" s="232">
        <f>VLOOKUP($AE66,'Carotid Endarterectomy'!$A:$AB,26,FALSE)</f>
        <v>1</v>
      </c>
      <c r="AJ66" s="232">
        <f>VLOOKUP($AE66,'Carotid Endarterectomy'!$A:$AB,27,FALSE)</f>
        <v>4</v>
      </c>
      <c r="AK66" s="232">
        <f>VLOOKUP($AE66,'Carotid Endarterectomy'!$A:$AB,28,FALSE)</f>
        <v>14</v>
      </c>
    </row>
    <row r="67" spans="31:37" x14ac:dyDescent="0.25">
      <c r="AE67" s="221" t="s">
        <v>115</v>
      </c>
      <c r="AF67" s="211" t="s">
        <v>116</v>
      </c>
      <c r="AG67" s="128">
        <v>66</v>
      </c>
      <c r="AH67" s="232">
        <f>VLOOKUP($AE67,'Carotid Endarterectomy'!$A:$AB,25,FALSE)</f>
        <v>27</v>
      </c>
      <c r="AI67" s="232">
        <f>VLOOKUP($AE67,'Carotid Endarterectomy'!$A:$AB,26,FALSE)</f>
        <v>15</v>
      </c>
      <c r="AJ67" s="232">
        <f>VLOOKUP($AE67,'Carotid Endarterectomy'!$A:$AB,27,FALSE)</f>
        <v>16</v>
      </c>
      <c r="AK67" s="232">
        <f>VLOOKUP($AE67,'Carotid Endarterectomy'!$A:$AB,28,FALSE)</f>
        <v>14</v>
      </c>
    </row>
    <row r="68" spans="31:37" x14ac:dyDescent="0.25">
      <c r="AE68" s="221" t="s">
        <v>379</v>
      </c>
      <c r="AF68" s="211" t="s">
        <v>380</v>
      </c>
      <c r="AG68" s="128">
        <v>67</v>
      </c>
      <c r="AH68" s="232">
        <f>VLOOKUP($AE68,'Carotid Endarterectomy'!$A:$AB,25,FALSE)</f>
        <v>43</v>
      </c>
      <c r="AI68" s="232">
        <f>VLOOKUP($AE68,'Carotid Endarterectomy'!$A:$AB,26,FALSE)</f>
        <v>20</v>
      </c>
      <c r="AJ68" s="232">
        <f>VLOOKUP($AE68,'Carotid Endarterectomy'!$A:$AB,27,FALSE)</f>
        <v>21</v>
      </c>
      <c r="AK68" s="232">
        <f>VLOOKUP($AE68,'Carotid Endarterectomy'!$A:$AB,28,FALSE)</f>
        <v>14</v>
      </c>
    </row>
    <row r="69" spans="31:37" x14ac:dyDescent="0.25">
      <c r="AE69" s="221" t="s">
        <v>71</v>
      </c>
      <c r="AF69" s="211" t="s">
        <v>72</v>
      </c>
      <c r="AG69" s="128">
        <v>68</v>
      </c>
      <c r="AH69" s="232" t="str">
        <f>VLOOKUP($AE69,'Carotid Endarterectomy'!$A:$AB,25,FALSE)</f>
        <v>xx</v>
      </c>
      <c r="AI69" s="232" t="e">
        <f>VLOOKUP($AE69,'Carotid Endarterectomy'!$A:$AB,26,FALSE)</f>
        <v>#VALUE!</v>
      </c>
      <c r="AJ69" s="232" t="e">
        <f>VLOOKUP($AE69,'Carotid Endarterectomy'!$A:$AB,27,FALSE)</f>
        <v>#VALUE!</v>
      </c>
      <c r="AK69" s="232"/>
    </row>
    <row r="70" spans="31:37" x14ac:dyDescent="0.25">
      <c r="AE70" s="221" t="s">
        <v>81</v>
      </c>
      <c r="AF70" s="211" t="s">
        <v>82</v>
      </c>
      <c r="AG70" s="128">
        <v>69</v>
      </c>
      <c r="AH70" s="232" t="str">
        <f>VLOOKUP($AE70,'Carotid Endarterectomy'!$A:$AB,25,FALSE)</f>
        <v>xx</v>
      </c>
      <c r="AI70" s="232" t="e">
        <f>VLOOKUP($AE70,'Carotid Endarterectomy'!$A:$AB,26,FALSE)</f>
        <v>#VALUE!</v>
      </c>
      <c r="AJ70" s="232" t="e">
        <f>VLOOKUP($AE70,'Carotid Endarterectomy'!$A:$AB,27,FALSE)</f>
        <v>#VALUE!</v>
      </c>
    </row>
  </sheetData>
  <mergeCells count="2">
    <mergeCell ref="B30:C30"/>
    <mergeCell ref="F2:I2"/>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'Carotid Endarterectomy'!$B$2:$B$70</xm:f>
          </x14:formula1>
          <xm:sqref>B1</xm:sqref>
        </x14:dataValidation>
        <x14:dataValidation type="list" allowBlank="1" showInputMessage="1" showErrorMessage="1">
          <x14:formula1>
            <xm:f>'Carotid Endarterectomy'!$G$1:$H$1</xm:f>
          </x14:formula1>
          <xm:sqref>F2:I2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workbookViewId="0">
      <selection activeCell="D6" sqref="D6"/>
    </sheetView>
  </sheetViews>
  <sheetFormatPr defaultRowHeight="15" x14ac:dyDescent="0.25"/>
  <cols>
    <col min="1" max="1" width="10.42578125" bestFit="1" customWidth="1"/>
    <col min="2" max="2" width="61" bestFit="1" customWidth="1"/>
    <col min="3" max="3" width="13.140625" customWidth="1"/>
    <col min="4" max="4" width="15.5703125" customWidth="1"/>
    <col min="5" max="5" width="14.42578125" customWidth="1"/>
    <col min="6" max="6" width="14" customWidth="1"/>
    <col min="7" max="7" width="16.140625" customWidth="1"/>
    <col min="8" max="8" width="13.85546875" customWidth="1"/>
    <col min="9" max="9" width="14.28515625" style="48" customWidth="1"/>
    <col min="10" max="10" width="14.28515625" customWidth="1"/>
  </cols>
  <sheetData>
    <row r="1" spans="1:11" ht="75" x14ac:dyDescent="0.25">
      <c r="A1" s="62" t="s">
        <v>385</v>
      </c>
      <c r="B1" s="62" t="s">
        <v>139</v>
      </c>
      <c r="C1" s="115" t="s">
        <v>892</v>
      </c>
      <c r="D1" s="116" t="s">
        <v>486</v>
      </c>
      <c r="E1" s="116" t="s">
        <v>487</v>
      </c>
      <c r="F1" s="116" t="s">
        <v>893</v>
      </c>
      <c r="G1" s="116" t="s">
        <v>894</v>
      </c>
      <c r="H1" s="116" t="s">
        <v>895</v>
      </c>
      <c r="I1" s="117" t="s">
        <v>896</v>
      </c>
      <c r="J1" s="118" t="s">
        <v>897</v>
      </c>
      <c r="K1" s="62" t="s">
        <v>385</v>
      </c>
    </row>
    <row r="2" spans="1:11" x14ac:dyDescent="0.25">
      <c r="A2" t="s">
        <v>30</v>
      </c>
      <c r="B2" t="s">
        <v>291</v>
      </c>
      <c r="C2" s="170">
        <v>94</v>
      </c>
      <c r="D2" s="170">
        <v>21</v>
      </c>
      <c r="E2" s="170">
        <v>38</v>
      </c>
      <c r="F2" s="170">
        <v>35</v>
      </c>
      <c r="G2" s="120" t="s">
        <v>898</v>
      </c>
      <c r="H2" s="120">
        <v>31</v>
      </c>
      <c r="I2" s="145">
        <v>0.15999999642372131</v>
      </c>
      <c r="J2" s="146">
        <v>0.10093709826469421</v>
      </c>
      <c r="K2" t="str">
        <f>A2</f>
        <v>RF4</v>
      </c>
    </row>
    <row r="3" spans="1:11" x14ac:dyDescent="0.25">
      <c r="A3" t="s">
        <v>10</v>
      </c>
      <c r="B3" t="s">
        <v>11</v>
      </c>
      <c r="C3" s="170">
        <v>85</v>
      </c>
      <c r="D3" s="170">
        <v>39</v>
      </c>
      <c r="E3" s="170">
        <v>34</v>
      </c>
      <c r="F3" s="170">
        <v>12</v>
      </c>
      <c r="G3" s="120" t="s">
        <v>899</v>
      </c>
      <c r="H3" s="120">
        <v>11</v>
      </c>
      <c r="I3" s="145">
        <v>0.27000001072883606</v>
      </c>
      <c r="J3" s="146">
        <v>4.0627062320709229E-2</v>
      </c>
      <c r="K3" t="str">
        <f t="shared" ref="K3:K66" si="0">A3</f>
        <v>R1H</v>
      </c>
    </row>
    <row r="4" spans="1:11" x14ac:dyDescent="0.25">
      <c r="A4" t="s">
        <v>417</v>
      </c>
      <c r="B4" t="s">
        <v>418</v>
      </c>
      <c r="C4" s="170">
        <v>268</v>
      </c>
      <c r="D4" s="170">
        <v>71</v>
      </c>
      <c r="E4" s="170">
        <v>97</v>
      </c>
      <c r="F4" s="170">
        <v>100</v>
      </c>
      <c r="G4" s="120" t="s">
        <v>900</v>
      </c>
      <c r="H4" s="120">
        <v>98</v>
      </c>
      <c r="I4" s="145">
        <v>5.9999998658895493E-2</v>
      </c>
      <c r="J4" s="146">
        <v>2.6998253539204597E-2</v>
      </c>
      <c r="K4" t="str">
        <f t="shared" si="0"/>
        <v>RC9</v>
      </c>
    </row>
    <row r="5" spans="1:11" x14ac:dyDescent="0.25">
      <c r="A5" s="164" t="s">
        <v>137</v>
      </c>
      <c r="B5" s="164" t="s">
        <v>138</v>
      </c>
      <c r="C5" s="171">
        <v>492</v>
      </c>
      <c r="D5" s="171">
        <v>137</v>
      </c>
      <c r="E5" s="171">
        <v>153</v>
      </c>
      <c r="F5" s="171">
        <v>202</v>
      </c>
      <c r="G5" s="120" t="s">
        <v>901</v>
      </c>
      <c r="H5" s="120">
        <v>194</v>
      </c>
      <c r="I5" s="172">
        <v>0.14000000059604645</v>
      </c>
      <c r="J5" s="173">
        <v>2.2560274228453636E-2</v>
      </c>
      <c r="K5" t="str">
        <f t="shared" si="0"/>
        <v>ZT001</v>
      </c>
    </row>
    <row r="6" spans="1:11" x14ac:dyDescent="0.25">
      <c r="A6" t="s">
        <v>0</v>
      </c>
      <c r="B6" t="s">
        <v>1</v>
      </c>
      <c r="C6" s="170">
        <v>290</v>
      </c>
      <c r="D6" s="170">
        <v>95</v>
      </c>
      <c r="E6" s="170">
        <v>97</v>
      </c>
      <c r="F6" s="170">
        <v>98</v>
      </c>
      <c r="G6" s="120" t="s">
        <v>902</v>
      </c>
      <c r="H6" s="120">
        <v>98</v>
      </c>
      <c r="I6" s="145">
        <v>7.0000000298023224E-2</v>
      </c>
      <c r="J6" s="146">
        <v>3.8419164717197418E-2</v>
      </c>
      <c r="K6" t="str">
        <f t="shared" si="0"/>
        <v>7A1</v>
      </c>
    </row>
    <row r="7" spans="1:11" x14ac:dyDescent="0.25">
      <c r="A7" t="s">
        <v>15</v>
      </c>
      <c r="B7" t="s">
        <v>16</v>
      </c>
      <c r="C7" s="170">
        <v>183</v>
      </c>
      <c r="D7" s="170">
        <v>50</v>
      </c>
      <c r="E7" s="170">
        <v>54</v>
      </c>
      <c r="F7" s="170">
        <v>79</v>
      </c>
      <c r="G7" s="120" t="s">
        <v>903</v>
      </c>
      <c r="H7" s="120">
        <v>79</v>
      </c>
      <c r="I7" s="145">
        <v>0.14000000059604645</v>
      </c>
      <c r="J7" s="146">
        <v>2.9851134866476059E-2</v>
      </c>
      <c r="K7" t="str">
        <f t="shared" si="0"/>
        <v>RAE</v>
      </c>
    </row>
    <row r="8" spans="1:11" x14ac:dyDescent="0.25">
      <c r="A8" t="s">
        <v>35</v>
      </c>
      <c r="B8" t="s">
        <v>36</v>
      </c>
      <c r="C8" s="170">
        <v>395</v>
      </c>
      <c r="D8" s="170">
        <v>104</v>
      </c>
      <c r="E8" s="170">
        <v>138</v>
      </c>
      <c r="F8" s="170">
        <v>153</v>
      </c>
      <c r="G8" s="120" t="s">
        <v>904</v>
      </c>
      <c r="H8" s="120">
        <v>152</v>
      </c>
      <c r="I8" s="145">
        <v>7.0000000298023224E-2</v>
      </c>
      <c r="J8" s="146">
        <v>1.2294990941882133E-2</v>
      </c>
      <c r="K8" t="str">
        <f t="shared" si="0"/>
        <v>RGT</v>
      </c>
    </row>
    <row r="9" spans="1:11" x14ac:dyDescent="0.25">
      <c r="A9" t="s">
        <v>3</v>
      </c>
      <c r="B9" t="s">
        <v>4</v>
      </c>
      <c r="C9" s="170">
        <v>267</v>
      </c>
      <c r="D9" s="170">
        <v>73</v>
      </c>
      <c r="E9" s="170">
        <v>64</v>
      </c>
      <c r="F9" s="170">
        <v>130</v>
      </c>
      <c r="G9" s="120" t="s">
        <v>905</v>
      </c>
      <c r="H9" s="120">
        <v>129</v>
      </c>
      <c r="I9" s="145">
        <v>0.11999999731779099</v>
      </c>
      <c r="J9" s="146">
        <v>1.5865480527281761E-2</v>
      </c>
      <c r="K9" t="str">
        <f t="shared" si="0"/>
        <v>7A4</v>
      </c>
    </row>
    <row r="10" spans="1:11" x14ac:dyDescent="0.25">
      <c r="A10" t="s">
        <v>51</v>
      </c>
      <c r="B10" t="s">
        <v>52</v>
      </c>
      <c r="C10" s="170">
        <v>392</v>
      </c>
      <c r="D10" s="170">
        <v>104</v>
      </c>
      <c r="E10" s="170">
        <v>146</v>
      </c>
      <c r="F10" s="170">
        <v>142</v>
      </c>
      <c r="G10" s="120" t="s">
        <v>906</v>
      </c>
      <c r="H10" s="120">
        <v>138</v>
      </c>
      <c r="I10" s="145">
        <v>9.0000003576278687E-2</v>
      </c>
      <c r="J10" s="146">
        <v>4.5541632920503616E-2</v>
      </c>
      <c r="K10" t="str">
        <f t="shared" si="0"/>
        <v>RJR</v>
      </c>
    </row>
    <row r="11" spans="1:11" x14ac:dyDescent="0.25">
      <c r="A11" t="s">
        <v>68</v>
      </c>
      <c r="B11" t="s">
        <v>293</v>
      </c>
      <c r="C11" s="170">
        <v>62</v>
      </c>
      <c r="D11" s="170">
        <v>37</v>
      </c>
      <c r="E11" s="170">
        <v>16</v>
      </c>
      <c r="F11" s="170">
        <v>9</v>
      </c>
      <c r="G11" s="120" t="s">
        <v>907</v>
      </c>
      <c r="H11" s="120">
        <v>9</v>
      </c>
      <c r="I11" s="145">
        <v>0.10999999940395355</v>
      </c>
      <c r="J11" s="146">
        <v>1.7589550465345383E-2</v>
      </c>
      <c r="K11" t="str">
        <f t="shared" si="0"/>
        <v>RP5</v>
      </c>
    </row>
    <row r="12" spans="1:11" x14ac:dyDescent="0.25">
      <c r="A12" t="s">
        <v>103</v>
      </c>
      <c r="B12" t="s">
        <v>104</v>
      </c>
      <c r="C12" s="170">
        <v>71</v>
      </c>
      <c r="D12" s="170">
        <v>7</v>
      </c>
      <c r="E12" s="170">
        <v>41</v>
      </c>
      <c r="F12" s="170">
        <v>23</v>
      </c>
      <c r="G12" s="120" t="s">
        <v>908</v>
      </c>
      <c r="H12" s="120">
        <v>23</v>
      </c>
      <c r="I12" s="145">
        <v>9.0000003576278687E-2</v>
      </c>
      <c r="J12" s="146">
        <v>0</v>
      </c>
      <c r="K12" t="str">
        <f t="shared" si="0"/>
        <v>RWH</v>
      </c>
    </row>
    <row r="13" spans="1:11" x14ac:dyDescent="0.25">
      <c r="A13" t="s">
        <v>94</v>
      </c>
      <c r="B13" t="s">
        <v>95</v>
      </c>
      <c r="C13" s="170">
        <v>169</v>
      </c>
      <c r="D13" s="170">
        <v>25</v>
      </c>
      <c r="E13" s="170">
        <v>59</v>
      </c>
      <c r="F13" s="170">
        <v>85</v>
      </c>
      <c r="G13" s="120" t="s">
        <v>909</v>
      </c>
      <c r="H13" s="120">
        <v>81</v>
      </c>
      <c r="I13" s="145">
        <v>0.15999999642372131</v>
      </c>
      <c r="J13" s="146">
        <v>4.5732989907264709E-2</v>
      </c>
      <c r="K13" t="str">
        <f t="shared" si="0"/>
        <v>RVV</v>
      </c>
    </row>
    <row r="14" spans="1:11" x14ac:dyDescent="0.25">
      <c r="A14" t="s">
        <v>115</v>
      </c>
      <c r="B14" t="s">
        <v>116</v>
      </c>
      <c r="C14" s="170">
        <v>478</v>
      </c>
      <c r="D14" s="170">
        <v>134</v>
      </c>
      <c r="E14" s="170">
        <v>188</v>
      </c>
      <c r="F14" s="170">
        <v>156</v>
      </c>
      <c r="G14" s="95" t="s">
        <v>903</v>
      </c>
      <c r="H14" s="95">
        <v>152</v>
      </c>
      <c r="I14" s="145">
        <v>0.20000000298023224</v>
      </c>
      <c r="J14" s="146">
        <v>3.471667692065239E-2</v>
      </c>
      <c r="K14" t="str">
        <f t="shared" si="0"/>
        <v>RXR</v>
      </c>
    </row>
    <row r="15" spans="1:11" x14ac:dyDescent="0.25">
      <c r="A15" t="s">
        <v>24</v>
      </c>
      <c r="B15" t="s">
        <v>160</v>
      </c>
      <c r="C15" s="170">
        <v>265</v>
      </c>
      <c r="D15" s="170">
        <v>84</v>
      </c>
      <c r="E15" s="170">
        <v>87</v>
      </c>
      <c r="F15" s="170">
        <v>94</v>
      </c>
      <c r="G15" s="95" t="s">
        <v>910</v>
      </c>
      <c r="H15" s="95">
        <v>93</v>
      </c>
      <c r="I15" s="145">
        <v>0.17000000178813934</v>
      </c>
      <c r="J15" s="146">
        <v>2.7384178712964058E-2</v>
      </c>
      <c r="K15" t="str">
        <f t="shared" si="0"/>
        <v>RDE</v>
      </c>
    </row>
    <row r="16" spans="1:11" x14ac:dyDescent="0.25">
      <c r="A16" t="s">
        <v>25</v>
      </c>
      <c r="B16" t="s">
        <v>26</v>
      </c>
      <c r="C16" s="170">
        <v>382</v>
      </c>
      <c r="D16" s="170">
        <v>158</v>
      </c>
      <c r="E16" s="170">
        <v>89</v>
      </c>
      <c r="F16" s="170">
        <v>135</v>
      </c>
      <c r="G16" s="120" t="s">
        <v>911</v>
      </c>
      <c r="H16" s="120">
        <v>132</v>
      </c>
      <c r="I16" s="145">
        <v>0.12999999523162842</v>
      </c>
      <c r="J16" s="146">
        <v>2.1991124376654625E-2</v>
      </c>
      <c r="K16" t="str">
        <f t="shared" si="0"/>
        <v>RDU</v>
      </c>
    </row>
    <row r="17" spans="1:11" x14ac:dyDescent="0.25">
      <c r="A17" t="s">
        <v>85</v>
      </c>
      <c r="B17" t="s">
        <v>86</v>
      </c>
      <c r="C17" s="170">
        <v>276</v>
      </c>
      <c r="D17" s="170">
        <v>85</v>
      </c>
      <c r="E17" s="170">
        <v>87</v>
      </c>
      <c r="F17" s="170">
        <v>104</v>
      </c>
      <c r="G17" s="120" t="s">
        <v>912</v>
      </c>
      <c r="H17" s="120">
        <v>103</v>
      </c>
      <c r="I17" s="145">
        <v>5.9999998658895493E-2</v>
      </c>
      <c r="J17" s="146">
        <v>1.724427193403244E-2</v>
      </c>
      <c r="K17" t="str">
        <f t="shared" si="0"/>
        <v>RTE</v>
      </c>
    </row>
    <row r="18" spans="1:11" x14ac:dyDescent="0.25">
      <c r="A18" t="s">
        <v>45</v>
      </c>
      <c r="B18" t="s">
        <v>46</v>
      </c>
      <c r="C18" s="170">
        <v>460</v>
      </c>
      <c r="D18" s="170">
        <v>141</v>
      </c>
      <c r="E18" s="170">
        <v>163</v>
      </c>
      <c r="F18" s="170">
        <v>156</v>
      </c>
      <c r="G18" s="120" t="s">
        <v>913</v>
      </c>
      <c r="H18" s="120">
        <v>150</v>
      </c>
      <c r="I18" s="145">
        <v>0.10999999940395355</v>
      </c>
      <c r="J18" s="146">
        <v>2.9822107404470444E-2</v>
      </c>
      <c r="K18" t="str">
        <f t="shared" si="0"/>
        <v>RJ1</v>
      </c>
    </row>
    <row r="19" spans="1:11" x14ac:dyDescent="0.25">
      <c r="A19" t="s">
        <v>96</v>
      </c>
      <c r="B19" t="s">
        <v>294</v>
      </c>
      <c r="C19" s="170">
        <v>384</v>
      </c>
      <c r="D19" s="170">
        <v>107</v>
      </c>
      <c r="E19" s="170">
        <v>132</v>
      </c>
      <c r="F19" s="170">
        <v>145</v>
      </c>
      <c r="G19" s="120" t="s">
        <v>914</v>
      </c>
      <c r="H19" s="120">
        <v>138</v>
      </c>
      <c r="I19" s="145">
        <v>0.10999999940395355</v>
      </c>
      <c r="J19" s="146">
        <v>2.9452055692672729E-2</v>
      </c>
      <c r="K19" t="str">
        <f t="shared" si="0"/>
        <v>RWA</v>
      </c>
    </row>
    <row r="20" spans="1:11" x14ac:dyDescent="0.25">
      <c r="A20" t="s">
        <v>119</v>
      </c>
      <c r="B20" t="s">
        <v>120</v>
      </c>
      <c r="C20" s="170">
        <v>325</v>
      </c>
      <c r="D20" s="170">
        <v>94</v>
      </c>
      <c r="E20" s="170">
        <v>123</v>
      </c>
      <c r="F20" s="170">
        <v>108</v>
      </c>
      <c r="G20" s="120" t="s">
        <v>915</v>
      </c>
      <c r="H20" s="120">
        <v>103</v>
      </c>
      <c r="I20" s="145">
        <v>0.11999999731779099</v>
      </c>
      <c r="J20" s="146">
        <v>4.7370035201311111E-2</v>
      </c>
      <c r="K20" t="str">
        <f t="shared" si="0"/>
        <v>RYJ</v>
      </c>
    </row>
    <row r="21" spans="1:11" x14ac:dyDescent="0.25">
      <c r="A21" t="s">
        <v>53</v>
      </c>
      <c r="B21" t="s">
        <v>54</v>
      </c>
      <c r="C21" s="170">
        <v>262</v>
      </c>
      <c r="D21" s="170">
        <v>82</v>
      </c>
      <c r="E21" s="170">
        <v>86</v>
      </c>
      <c r="F21" s="170">
        <v>94</v>
      </c>
      <c r="G21" s="120" t="s">
        <v>916</v>
      </c>
      <c r="H21" s="120">
        <v>92</v>
      </c>
      <c r="I21" s="145">
        <v>9.9999997764825821E-3</v>
      </c>
      <c r="J21" s="146">
        <v>3.3851273357868195E-2</v>
      </c>
      <c r="K21" t="str">
        <f t="shared" si="0"/>
        <v>RJZ</v>
      </c>
    </row>
    <row r="22" spans="1:11" x14ac:dyDescent="0.25">
      <c r="A22" t="s">
        <v>113</v>
      </c>
      <c r="B22" t="s">
        <v>114</v>
      </c>
      <c r="C22" s="170">
        <v>578</v>
      </c>
      <c r="D22" s="170">
        <v>216</v>
      </c>
      <c r="E22" s="170">
        <v>160</v>
      </c>
      <c r="F22" s="170">
        <v>202</v>
      </c>
      <c r="G22" s="120" t="s">
        <v>917</v>
      </c>
      <c r="H22" s="120">
        <v>195</v>
      </c>
      <c r="I22" s="145">
        <v>5.9999998658895493E-2</v>
      </c>
      <c r="J22" s="146">
        <v>2.5964317843317986E-2</v>
      </c>
      <c r="K22" t="str">
        <f t="shared" si="0"/>
        <v>RXN</v>
      </c>
    </row>
    <row r="23" spans="1:11" x14ac:dyDescent="0.25">
      <c r="A23" t="s">
        <v>75</v>
      </c>
      <c r="B23" t="s">
        <v>76</v>
      </c>
      <c r="C23" s="170">
        <v>280</v>
      </c>
      <c r="D23" s="170">
        <v>81</v>
      </c>
      <c r="E23" s="170">
        <v>111</v>
      </c>
      <c r="F23" s="170">
        <v>88</v>
      </c>
      <c r="G23" s="120" t="s">
        <v>918</v>
      </c>
      <c r="H23" s="120">
        <v>84</v>
      </c>
      <c r="I23" s="145">
        <v>0.14000000059604645</v>
      </c>
      <c r="J23" s="146">
        <v>2.6067974045872688E-2</v>
      </c>
      <c r="K23" t="str">
        <f t="shared" si="0"/>
        <v>RR8</v>
      </c>
    </row>
    <row r="24" spans="1:11" x14ac:dyDescent="0.25">
      <c r="A24" t="s">
        <v>29</v>
      </c>
      <c r="B24" t="s">
        <v>295</v>
      </c>
      <c r="C24" s="170">
        <v>487</v>
      </c>
      <c r="D24" s="170">
        <v>127</v>
      </c>
      <c r="E24" s="170">
        <v>171</v>
      </c>
      <c r="F24" s="170">
        <v>189</v>
      </c>
      <c r="G24" s="120" t="s">
        <v>919</v>
      </c>
      <c r="H24" s="120">
        <v>184</v>
      </c>
      <c r="I24" s="145">
        <v>9.0000003576278687E-2</v>
      </c>
      <c r="J24" s="146">
        <v>2.5388117879629135E-2</v>
      </c>
      <c r="K24" t="str">
        <f t="shared" si="0"/>
        <v>REM</v>
      </c>
    </row>
    <row r="25" spans="1:11" x14ac:dyDescent="0.25">
      <c r="A25" t="s">
        <v>12</v>
      </c>
      <c r="B25" t="s">
        <v>296</v>
      </c>
      <c r="C25" s="170">
        <v>89</v>
      </c>
      <c r="D25" s="170">
        <v>21</v>
      </c>
      <c r="E25" s="170">
        <v>38</v>
      </c>
      <c r="F25" s="170">
        <v>30</v>
      </c>
      <c r="G25" s="120" t="s">
        <v>920</v>
      </c>
      <c r="H25" s="120">
        <v>29</v>
      </c>
      <c r="I25" s="145">
        <v>0.10000000149011612</v>
      </c>
      <c r="J25" s="146">
        <v>4.9125645309686661E-2</v>
      </c>
      <c r="K25" t="str">
        <f t="shared" si="0"/>
        <v>R1K</v>
      </c>
    </row>
    <row r="26" spans="1:11" x14ac:dyDescent="0.25">
      <c r="A26" t="s">
        <v>8</v>
      </c>
      <c r="B26" t="s">
        <v>9</v>
      </c>
      <c r="C26" s="170">
        <v>420</v>
      </c>
      <c r="D26" s="170">
        <v>94</v>
      </c>
      <c r="E26" s="170">
        <v>158</v>
      </c>
      <c r="F26" s="170">
        <v>168</v>
      </c>
      <c r="G26" s="120" t="s">
        <v>886</v>
      </c>
      <c r="H26" s="120">
        <v>165</v>
      </c>
      <c r="I26" s="145">
        <v>7.0000000298023224E-2</v>
      </c>
      <c r="J26" s="146">
        <v>3.7326198071241379E-2</v>
      </c>
      <c r="K26" t="str">
        <f t="shared" si="0"/>
        <v>R0A</v>
      </c>
    </row>
    <row r="27" spans="1:11" x14ac:dyDescent="0.25">
      <c r="A27" t="s">
        <v>69</v>
      </c>
      <c r="B27" t="s">
        <v>70</v>
      </c>
      <c r="C27" s="170">
        <v>62</v>
      </c>
      <c r="D27" s="170">
        <v>15</v>
      </c>
      <c r="E27" s="170">
        <v>36</v>
      </c>
      <c r="F27" s="170">
        <v>11</v>
      </c>
      <c r="G27" s="120" t="s">
        <v>921</v>
      </c>
      <c r="H27" s="120">
        <v>11</v>
      </c>
      <c r="I27" s="145">
        <v>0</v>
      </c>
      <c r="J27" s="146">
        <v>0</v>
      </c>
      <c r="K27" t="str">
        <f t="shared" si="0"/>
        <v>RPA</v>
      </c>
    </row>
    <row r="28" spans="1:11" x14ac:dyDescent="0.25">
      <c r="A28" t="s">
        <v>17</v>
      </c>
      <c r="B28" t="s">
        <v>339</v>
      </c>
      <c r="C28" s="170">
        <v>288</v>
      </c>
      <c r="D28" s="170">
        <v>86</v>
      </c>
      <c r="E28" s="170">
        <v>86</v>
      </c>
      <c r="F28" s="170">
        <v>116</v>
      </c>
      <c r="G28" s="120" t="s">
        <v>922</v>
      </c>
      <c r="H28" s="120">
        <v>112</v>
      </c>
      <c r="I28" s="145">
        <v>5.9999998658895493E-2</v>
      </c>
      <c r="J28" s="146">
        <v>3.4545425325632095E-2</v>
      </c>
      <c r="K28" t="str">
        <f t="shared" si="0"/>
        <v>RAJ</v>
      </c>
    </row>
    <row r="29" spans="1:11" x14ac:dyDescent="0.25">
      <c r="A29" t="s">
        <v>83</v>
      </c>
      <c r="B29" t="s">
        <v>84</v>
      </c>
      <c r="C29" s="170">
        <v>483</v>
      </c>
      <c r="D29" s="170">
        <v>104</v>
      </c>
      <c r="E29" s="170">
        <v>181</v>
      </c>
      <c r="F29" s="170">
        <v>198</v>
      </c>
      <c r="G29" s="120" t="s">
        <v>923</v>
      </c>
      <c r="H29" s="120">
        <v>192</v>
      </c>
      <c r="I29" s="145">
        <v>0.20999999344348907</v>
      </c>
      <c r="J29" s="146">
        <v>3.101637214422226E-2</v>
      </c>
      <c r="K29" t="str">
        <f t="shared" si="0"/>
        <v>RTD</v>
      </c>
    </row>
    <row r="30" spans="1:11" x14ac:dyDescent="0.25">
      <c r="A30" t="s">
        <v>129</v>
      </c>
      <c r="B30" t="s">
        <v>130</v>
      </c>
      <c r="C30" s="170">
        <v>106</v>
      </c>
      <c r="D30" s="170">
        <v>40</v>
      </c>
      <c r="E30" s="170">
        <v>56</v>
      </c>
      <c r="F30" s="170">
        <v>10</v>
      </c>
      <c r="G30" s="120" t="s">
        <v>924</v>
      </c>
      <c r="H30" s="120">
        <v>10</v>
      </c>
      <c r="I30" s="145">
        <v>0.10000000149011612</v>
      </c>
      <c r="J30" s="146">
        <v>8.6728613823652267E-3</v>
      </c>
      <c r="K30" t="str">
        <f t="shared" si="0"/>
        <v>SN999</v>
      </c>
    </row>
    <row r="31" spans="1:11" x14ac:dyDescent="0.25">
      <c r="A31" t="s">
        <v>123</v>
      </c>
      <c r="B31" t="s">
        <v>124</v>
      </c>
      <c r="C31" s="170">
        <v>195</v>
      </c>
      <c r="D31" s="170">
        <v>65</v>
      </c>
      <c r="E31" s="170">
        <v>53</v>
      </c>
      <c r="F31" s="170">
        <v>77</v>
      </c>
      <c r="G31" s="120" t="s">
        <v>925</v>
      </c>
      <c r="H31" s="120">
        <v>74</v>
      </c>
      <c r="I31" s="145">
        <v>0.15000000596046448</v>
      </c>
      <c r="J31" s="146">
        <v>5.032368004322052E-2</v>
      </c>
      <c r="K31" t="str">
        <f t="shared" si="0"/>
        <v>SG999</v>
      </c>
    </row>
    <row r="32" spans="1:11" x14ac:dyDescent="0.25">
      <c r="A32" t="s">
        <v>125</v>
      </c>
      <c r="B32" t="s">
        <v>126</v>
      </c>
      <c r="C32" s="170">
        <v>206</v>
      </c>
      <c r="D32" s="170">
        <v>61</v>
      </c>
      <c r="E32" s="170">
        <v>63</v>
      </c>
      <c r="F32" s="170">
        <v>82</v>
      </c>
      <c r="G32" s="120" t="s">
        <v>906</v>
      </c>
      <c r="H32" s="120">
        <v>81</v>
      </c>
      <c r="I32" s="145">
        <v>7.0000000298023224E-2</v>
      </c>
      <c r="J32" s="146">
        <v>1.5856832265853882E-2</v>
      </c>
      <c r="K32" t="str">
        <f t="shared" si="0"/>
        <v>SH999</v>
      </c>
    </row>
    <row r="33" spans="1:11" x14ac:dyDescent="0.25">
      <c r="A33" t="s">
        <v>127</v>
      </c>
      <c r="B33" t="s">
        <v>128</v>
      </c>
      <c r="C33" s="170">
        <v>151</v>
      </c>
      <c r="D33" s="170">
        <v>42</v>
      </c>
      <c r="E33" s="170">
        <v>48</v>
      </c>
      <c r="F33" s="170">
        <v>61</v>
      </c>
      <c r="G33" s="120" t="s">
        <v>907</v>
      </c>
      <c r="H33" s="120">
        <v>57</v>
      </c>
      <c r="I33" s="145">
        <v>0.14000000059604645</v>
      </c>
      <c r="J33" s="146">
        <v>5.0471458584070206E-2</v>
      </c>
      <c r="K33" t="str">
        <f t="shared" si="0"/>
        <v>SL999</v>
      </c>
    </row>
    <row r="34" spans="1:11" x14ac:dyDescent="0.25">
      <c r="A34" t="s">
        <v>131</v>
      </c>
      <c r="B34" t="s">
        <v>132</v>
      </c>
      <c r="C34" s="170">
        <v>128</v>
      </c>
      <c r="D34" s="170">
        <v>21</v>
      </c>
      <c r="E34" s="170">
        <v>31</v>
      </c>
      <c r="F34" s="170">
        <v>76</v>
      </c>
      <c r="G34" s="120" t="s">
        <v>926</v>
      </c>
      <c r="H34" s="120">
        <v>73</v>
      </c>
      <c r="I34" s="145">
        <v>0.18999999761581421</v>
      </c>
      <c r="J34" s="146">
        <v>4.2199317365884781E-2</v>
      </c>
      <c r="K34" t="str">
        <f t="shared" si="0"/>
        <v>SS999</v>
      </c>
    </row>
    <row r="35" spans="1:11" x14ac:dyDescent="0.25">
      <c r="A35" t="s">
        <v>133</v>
      </c>
      <c r="B35" t="s">
        <v>134</v>
      </c>
      <c r="C35" s="170">
        <v>116</v>
      </c>
      <c r="D35" s="170">
        <v>5</v>
      </c>
      <c r="E35" s="170">
        <v>44</v>
      </c>
      <c r="F35" s="170">
        <v>67</v>
      </c>
      <c r="G35" s="120" t="s">
        <v>927</v>
      </c>
      <c r="H35" s="120">
        <v>64</v>
      </c>
      <c r="I35" s="145">
        <v>9.0000003576278687E-2</v>
      </c>
      <c r="J35" s="146">
        <v>4.6949900686740875E-2</v>
      </c>
      <c r="K35" t="str">
        <f t="shared" si="0"/>
        <v>ST999</v>
      </c>
    </row>
    <row r="36" spans="1:11" x14ac:dyDescent="0.25">
      <c r="A36" t="s">
        <v>60</v>
      </c>
      <c r="B36" t="s">
        <v>61</v>
      </c>
      <c r="C36" s="170">
        <v>214</v>
      </c>
      <c r="D36" s="170">
        <v>72</v>
      </c>
      <c r="E36" s="170">
        <v>54</v>
      </c>
      <c r="F36" s="170">
        <v>88</v>
      </c>
      <c r="G36" s="120" t="s">
        <v>888</v>
      </c>
      <c r="H36" s="120">
        <v>85</v>
      </c>
      <c r="I36" s="145">
        <v>7.0000000298023224E-2</v>
      </c>
      <c r="J36" s="146">
        <v>3.5692345350980759E-2</v>
      </c>
      <c r="K36" t="str">
        <f t="shared" si="0"/>
        <v>RM1</v>
      </c>
    </row>
    <row r="37" spans="1:11" x14ac:dyDescent="0.25">
      <c r="A37" t="s">
        <v>92</v>
      </c>
      <c r="B37" t="s">
        <v>93</v>
      </c>
      <c r="C37" s="170">
        <v>392</v>
      </c>
      <c r="D37" s="170">
        <v>144</v>
      </c>
      <c r="E37" s="170">
        <v>132</v>
      </c>
      <c r="F37" s="170">
        <v>116</v>
      </c>
      <c r="G37" s="120" t="s">
        <v>904</v>
      </c>
      <c r="H37" s="120">
        <v>114</v>
      </c>
      <c r="I37" s="145">
        <v>0.11999999731779099</v>
      </c>
      <c r="J37" s="146">
        <v>1.7692169174551964E-2</v>
      </c>
      <c r="K37" t="str">
        <f t="shared" si="0"/>
        <v>RVJ</v>
      </c>
    </row>
    <row r="38" spans="1:11" x14ac:dyDescent="0.25">
      <c r="A38" t="s">
        <v>433</v>
      </c>
      <c r="B38" t="s">
        <v>353</v>
      </c>
      <c r="C38" s="170">
        <v>242</v>
      </c>
      <c r="D38" s="170">
        <v>79</v>
      </c>
      <c r="E38" s="170">
        <v>76</v>
      </c>
      <c r="F38" s="170">
        <v>87</v>
      </c>
      <c r="G38" s="120" t="s">
        <v>885</v>
      </c>
      <c r="H38" s="120">
        <v>84</v>
      </c>
      <c r="I38" s="145">
        <v>0.20999999344348907</v>
      </c>
      <c r="J38" s="146">
        <v>4.3574579060077667E-2</v>
      </c>
      <c r="K38" t="str">
        <f t="shared" si="0"/>
        <v>RNN</v>
      </c>
    </row>
    <row r="39" spans="1:11" x14ac:dyDescent="0.25">
      <c r="A39" t="s">
        <v>66</v>
      </c>
      <c r="B39" t="s">
        <v>67</v>
      </c>
      <c r="C39" s="170">
        <v>216</v>
      </c>
      <c r="D39" s="170">
        <v>71</v>
      </c>
      <c r="E39" s="170">
        <v>71</v>
      </c>
      <c r="F39" s="170">
        <v>74</v>
      </c>
      <c r="G39" s="120" t="s">
        <v>928</v>
      </c>
      <c r="H39" s="120">
        <v>74</v>
      </c>
      <c r="I39" s="145">
        <v>0.18000000715255737</v>
      </c>
      <c r="J39" s="146">
        <v>2.3380482569336891E-2</v>
      </c>
      <c r="K39" t="str">
        <f t="shared" si="0"/>
        <v>RNS</v>
      </c>
    </row>
    <row r="40" spans="1:11" x14ac:dyDescent="0.25">
      <c r="A40" t="s">
        <v>429</v>
      </c>
      <c r="B40" t="s">
        <v>430</v>
      </c>
      <c r="C40" s="170">
        <v>576</v>
      </c>
      <c r="D40" s="170">
        <v>163</v>
      </c>
      <c r="E40" s="170">
        <v>196</v>
      </c>
      <c r="F40" s="170">
        <v>217</v>
      </c>
      <c r="G40" s="120" t="s">
        <v>926</v>
      </c>
      <c r="H40" s="120">
        <v>209</v>
      </c>
      <c r="I40" s="145">
        <v>5.000000074505806E-2</v>
      </c>
      <c r="J40" s="146">
        <v>3.4818459302186966E-2</v>
      </c>
      <c r="K40" t="str">
        <f t="shared" si="0"/>
        <v>RM3</v>
      </c>
    </row>
    <row r="41" spans="1:11" x14ac:dyDescent="0.25">
      <c r="A41" t="s">
        <v>109</v>
      </c>
      <c r="B41" t="s">
        <v>110</v>
      </c>
      <c r="C41" s="170">
        <v>146</v>
      </c>
      <c r="D41" s="170">
        <v>39</v>
      </c>
      <c r="E41" s="170">
        <v>50</v>
      </c>
      <c r="F41" s="170">
        <v>57</v>
      </c>
      <c r="G41" s="120" t="s">
        <v>929</v>
      </c>
      <c r="H41" s="120">
        <v>57</v>
      </c>
      <c r="I41" s="145">
        <v>0.31999999284744263</v>
      </c>
      <c r="J41" s="146">
        <v>1.6781706362962723E-2</v>
      </c>
      <c r="K41" t="str">
        <f t="shared" si="0"/>
        <v>RX1</v>
      </c>
    </row>
    <row r="42" spans="1:11" x14ac:dyDescent="0.25">
      <c r="A42" t="s">
        <v>88</v>
      </c>
      <c r="B42" t="s">
        <v>298</v>
      </c>
      <c r="C42" s="170">
        <v>161</v>
      </c>
      <c r="D42" s="170">
        <v>49</v>
      </c>
      <c r="E42" s="170">
        <v>59</v>
      </c>
      <c r="F42" s="170">
        <v>53</v>
      </c>
      <c r="G42" s="120" t="s">
        <v>900</v>
      </c>
      <c r="H42" s="120">
        <v>53</v>
      </c>
      <c r="I42" s="145">
        <v>7.9999998211860657E-2</v>
      </c>
      <c r="J42" s="146">
        <v>1.4021420851349831E-2</v>
      </c>
      <c r="K42" t="str">
        <f t="shared" si="0"/>
        <v>RTH</v>
      </c>
    </row>
    <row r="43" spans="1:11" x14ac:dyDescent="0.25">
      <c r="A43" t="s">
        <v>71</v>
      </c>
      <c r="B43" t="s">
        <v>72</v>
      </c>
      <c r="C43" s="170">
        <v>39</v>
      </c>
      <c r="D43" s="170">
        <v>19</v>
      </c>
      <c r="E43" s="170">
        <v>10</v>
      </c>
      <c r="F43" s="170">
        <v>10</v>
      </c>
      <c r="G43" s="120" t="s">
        <v>887</v>
      </c>
      <c r="H43" s="120">
        <v>10</v>
      </c>
      <c r="I43" s="145">
        <v>0.10000000149011612</v>
      </c>
      <c r="J43" s="146">
        <v>8.3582408726215363E-2</v>
      </c>
      <c r="K43" t="str">
        <f t="shared" si="0"/>
        <v>RQW</v>
      </c>
    </row>
    <row r="44" spans="1:11" x14ac:dyDescent="0.25">
      <c r="A44" t="s">
        <v>81</v>
      </c>
      <c r="B44" t="s">
        <v>82</v>
      </c>
      <c r="C44" s="170">
        <v>16</v>
      </c>
      <c r="D44" s="170">
        <v>7</v>
      </c>
      <c r="E44" s="170">
        <v>5</v>
      </c>
      <c r="F44" s="170">
        <v>4</v>
      </c>
      <c r="G44" s="120" t="s">
        <v>930</v>
      </c>
      <c r="H44" s="120">
        <v>4</v>
      </c>
      <c r="I44" s="145">
        <v>0</v>
      </c>
      <c r="J44" s="146">
        <v>0.1270991712808609</v>
      </c>
      <c r="K44" t="str">
        <f t="shared" si="0"/>
        <v>RT3</v>
      </c>
    </row>
    <row r="45" spans="1:11" x14ac:dyDescent="0.25">
      <c r="A45" t="s">
        <v>27</v>
      </c>
      <c r="B45" t="s">
        <v>28</v>
      </c>
      <c r="C45" s="170">
        <v>215</v>
      </c>
      <c r="D45" s="170">
        <v>77</v>
      </c>
      <c r="E45" s="170">
        <v>66</v>
      </c>
      <c r="F45" s="170">
        <v>72</v>
      </c>
      <c r="G45" s="120" t="s">
        <v>931</v>
      </c>
      <c r="H45" s="120">
        <v>71</v>
      </c>
      <c r="I45" s="145">
        <v>0.12999999523162842</v>
      </c>
      <c r="J45" s="146">
        <v>2.1570334210991859E-2</v>
      </c>
      <c r="K45" t="str">
        <f t="shared" si="0"/>
        <v>REF</v>
      </c>
    </row>
    <row r="46" spans="1:11" x14ac:dyDescent="0.25">
      <c r="A46" t="s">
        <v>37</v>
      </c>
      <c r="B46" t="s">
        <v>596</v>
      </c>
      <c r="C46" s="170">
        <v>234</v>
      </c>
      <c r="D46" s="170">
        <v>72</v>
      </c>
      <c r="E46" s="170">
        <v>82</v>
      </c>
      <c r="F46" s="170">
        <v>80</v>
      </c>
      <c r="G46" s="120" t="s">
        <v>906</v>
      </c>
      <c r="H46" s="120">
        <v>78</v>
      </c>
      <c r="I46" s="145">
        <v>0.12999999523162842</v>
      </c>
      <c r="J46" s="146">
        <v>2.6256324723362923E-2</v>
      </c>
      <c r="K46" t="str">
        <f t="shared" si="0"/>
        <v>RH8</v>
      </c>
    </row>
    <row r="47" spans="1:11" x14ac:dyDescent="0.25">
      <c r="A47" t="s">
        <v>18</v>
      </c>
      <c r="B47" t="s">
        <v>19</v>
      </c>
      <c r="C47" s="170">
        <v>109</v>
      </c>
      <c r="D47" s="170">
        <v>83</v>
      </c>
      <c r="E47" s="170">
        <v>9</v>
      </c>
      <c r="F47" s="170">
        <v>17</v>
      </c>
      <c r="G47" s="120" t="s">
        <v>932</v>
      </c>
      <c r="H47" s="120">
        <v>14</v>
      </c>
      <c r="I47" s="145">
        <v>0</v>
      </c>
      <c r="J47" s="146">
        <v>2.9297554865479469E-2</v>
      </c>
      <c r="K47" t="str">
        <f t="shared" si="0"/>
        <v>RAL</v>
      </c>
    </row>
    <row r="48" spans="1:11" x14ac:dyDescent="0.25">
      <c r="A48" t="s">
        <v>41</v>
      </c>
      <c r="B48" t="s">
        <v>42</v>
      </c>
      <c r="C48" s="170">
        <v>199</v>
      </c>
      <c r="D48" s="170">
        <v>41</v>
      </c>
      <c r="E48" s="170">
        <v>57</v>
      </c>
      <c r="F48" s="170">
        <v>101</v>
      </c>
      <c r="G48" s="120" t="s">
        <v>933</v>
      </c>
      <c r="H48" s="120">
        <v>101</v>
      </c>
      <c r="I48" s="145">
        <v>7.0000000298023224E-2</v>
      </c>
      <c r="J48" s="146">
        <v>5.8424649760127068E-3</v>
      </c>
      <c r="K48" t="str">
        <f t="shared" si="0"/>
        <v>RHQ</v>
      </c>
    </row>
    <row r="49" spans="1:11" x14ac:dyDescent="0.25">
      <c r="A49" t="s">
        <v>117</v>
      </c>
      <c r="B49" t="s">
        <v>118</v>
      </c>
      <c r="C49" s="170">
        <v>244</v>
      </c>
      <c r="D49" s="170">
        <v>82</v>
      </c>
      <c r="E49" s="170">
        <v>76</v>
      </c>
      <c r="F49" s="170">
        <v>86</v>
      </c>
      <c r="G49" s="95" t="s">
        <v>934</v>
      </c>
      <c r="H49" s="95">
        <v>85</v>
      </c>
      <c r="I49" s="145">
        <v>0.18000000715255737</v>
      </c>
      <c r="J49" s="146">
        <v>2.1921681240200996E-2</v>
      </c>
      <c r="K49" t="str">
        <f t="shared" si="0"/>
        <v>RXW</v>
      </c>
    </row>
    <row r="50" spans="1:11" x14ac:dyDescent="0.25">
      <c r="A50" t="s">
        <v>348</v>
      </c>
      <c r="B50" t="s">
        <v>349</v>
      </c>
      <c r="C50" s="170">
        <v>430</v>
      </c>
      <c r="D50" s="170">
        <v>137</v>
      </c>
      <c r="E50" s="170">
        <v>153</v>
      </c>
      <c r="F50" s="170">
        <v>140</v>
      </c>
      <c r="G50" s="120" t="s">
        <v>884</v>
      </c>
      <c r="H50" s="120">
        <v>135</v>
      </c>
      <c r="I50" s="145">
        <v>5.9999998658895493E-2</v>
      </c>
      <c r="J50" s="146">
        <v>2.0289206877350807E-2</v>
      </c>
      <c r="K50" t="str">
        <f t="shared" si="0"/>
        <v>RH5</v>
      </c>
    </row>
    <row r="51" spans="1:11" x14ac:dyDescent="0.25">
      <c r="A51" t="s">
        <v>90</v>
      </c>
      <c r="B51" t="s">
        <v>91</v>
      </c>
      <c r="C51" s="170">
        <v>173</v>
      </c>
      <c r="D51" s="170">
        <v>48</v>
      </c>
      <c r="E51" s="170">
        <v>64</v>
      </c>
      <c r="F51" s="170">
        <v>61</v>
      </c>
      <c r="G51" s="120" t="s">
        <v>935</v>
      </c>
      <c r="H51" s="120">
        <v>60</v>
      </c>
      <c r="I51" s="145">
        <v>0.10000000149011612</v>
      </c>
      <c r="J51" s="146">
        <v>2.4381520226597786E-2</v>
      </c>
      <c r="K51" t="str">
        <f t="shared" si="0"/>
        <v>RTR</v>
      </c>
    </row>
    <row r="52" spans="1:11" x14ac:dyDescent="0.25">
      <c r="A52" t="s">
        <v>333</v>
      </c>
      <c r="B52" t="s">
        <v>334</v>
      </c>
      <c r="C52" s="170">
        <v>148</v>
      </c>
      <c r="D52" s="170">
        <v>47</v>
      </c>
      <c r="E52" s="170">
        <v>37</v>
      </c>
      <c r="F52" s="170">
        <v>64</v>
      </c>
      <c r="G52" s="120" t="s">
        <v>936</v>
      </c>
      <c r="H52" s="120">
        <v>58</v>
      </c>
      <c r="I52" s="145">
        <v>0.15999999642372131</v>
      </c>
      <c r="J52" s="146">
        <v>6.0068726539611816E-2</v>
      </c>
      <c r="K52" t="str">
        <f t="shared" si="0"/>
        <v>R0B</v>
      </c>
    </row>
    <row r="53" spans="1:11" x14ac:dyDescent="0.25">
      <c r="A53" t="s">
        <v>47</v>
      </c>
      <c r="B53" t="s">
        <v>48</v>
      </c>
      <c r="C53" s="170">
        <v>233</v>
      </c>
      <c r="D53" s="170">
        <v>77</v>
      </c>
      <c r="E53" s="170">
        <v>72</v>
      </c>
      <c r="F53" s="170">
        <v>84</v>
      </c>
      <c r="G53" s="120" t="s">
        <v>937</v>
      </c>
      <c r="H53" s="120">
        <v>82</v>
      </c>
      <c r="I53" s="145">
        <v>9.0000003576278687E-2</v>
      </c>
      <c r="J53" s="146">
        <v>2.597704716026783E-2</v>
      </c>
      <c r="K53" t="str">
        <f t="shared" si="0"/>
        <v>RJ7</v>
      </c>
    </row>
    <row r="54" spans="1:11" x14ac:dyDescent="0.25">
      <c r="A54" t="s">
        <v>2</v>
      </c>
      <c r="B54" t="s">
        <v>158</v>
      </c>
      <c r="C54" s="170">
        <v>378</v>
      </c>
      <c r="D54" s="170">
        <v>108</v>
      </c>
      <c r="E54" s="170">
        <v>120</v>
      </c>
      <c r="F54" s="170">
        <v>150</v>
      </c>
      <c r="G54" s="120" t="s">
        <v>929</v>
      </c>
      <c r="H54" s="120">
        <v>144</v>
      </c>
      <c r="I54" s="145">
        <v>0.18999999761581421</v>
      </c>
      <c r="J54" s="146">
        <v>2.9454516246914864E-2</v>
      </c>
      <c r="K54" t="str">
        <f t="shared" si="0"/>
        <v>7A3</v>
      </c>
    </row>
    <row r="55" spans="1:11" x14ac:dyDescent="0.25">
      <c r="A55" t="s">
        <v>64</v>
      </c>
      <c r="B55" t="s">
        <v>65</v>
      </c>
      <c r="C55" s="170">
        <v>393</v>
      </c>
      <c r="D55" s="170">
        <v>134</v>
      </c>
      <c r="E55" s="170">
        <v>128</v>
      </c>
      <c r="F55" s="170">
        <v>131</v>
      </c>
      <c r="G55" s="120" t="s">
        <v>938</v>
      </c>
      <c r="H55" s="120">
        <v>129</v>
      </c>
      <c r="I55" s="145">
        <v>0.10999999940395355</v>
      </c>
      <c r="J55" s="146">
        <v>2.0781835541129112E-2</v>
      </c>
      <c r="K55" t="str">
        <f t="shared" si="0"/>
        <v>RNA</v>
      </c>
    </row>
    <row r="56" spans="1:11" x14ac:dyDescent="0.25">
      <c r="A56" t="s">
        <v>13</v>
      </c>
      <c r="B56" t="s">
        <v>14</v>
      </c>
      <c r="C56" s="170">
        <v>10</v>
      </c>
      <c r="D56" s="170">
        <v>5</v>
      </c>
      <c r="E56" s="170">
        <v>1</v>
      </c>
      <c r="F56" s="170">
        <v>4</v>
      </c>
      <c r="G56" s="120" t="s">
        <v>939</v>
      </c>
      <c r="H56" s="120">
        <v>4</v>
      </c>
      <c r="I56" s="145">
        <v>0</v>
      </c>
      <c r="J56" s="146">
        <v>0</v>
      </c>
      <c r="K56" t="str">
        <f t="shared" si="0"/>
        <v>RA9</v>
      </c>
    </row>
    <row r="57" spans="1:11" x14ac:dyDescent="0.25">
      <c r="A57" t="s">
        <v>97</v>
      </c>
      <c r="B57" t="s">
        <v>98</v>
      </c>
      <c r="C57" s="170">
        <v>107</v>
      </c>
      <c r="D57" s="170">
        <v>36</v>
      </c>
      <c r="E57" s="170">
        <v>40</v>
      </c>
      <c r="F57" s="170">
        <v>31</v>
      </c>
      <c r="G57" s="120" t="s">
        <v>940</v>
      </c>
      <c r="H57" s="120">
        <v>29</v>
      </c>
      <c r="I57" s="145">
        <v>0.14000000059604645</v>
      </c>
      <c r="J57" s="146">
        <v>1.6179425641894341E-2</v>
      </c>
      <c r="K57" t="str">
        <f t="shared" si="0"/>
        <v>RWD</v>
      </c>
    </row>
    <row r="58" spans="1:11" x14ac:dyDescent="0.25">
      <c r="A58" t="s">
        <v>49</v>
      </c>
      <c r="B58" t="s">
        <v>50</v>
      </c>
      <c r="C58" s="170">
        <v>420</v>
      </c>
      <c r="D58" s="170">
        <v>113</v>
      </c>
      <c r="E58" s="170">
        <v>141</v>
      </c>
      <c r="F58" s="170">
        <v>166</v>
      </c>
      <c r="G58" s="120" t="s">
        <v>941</v>
      </c>
      <c r="H58" s="120">
        <v>161</v>
      </c>
      <c r="I58" s="145">
        <v>0.23000000417232513</v>
      </c>
      <c r="J58" s="146">
        <v>5.3521297872066498E-2</v>
      </c>
      <c r="K58" t="str">
        <f t="shared" si="0"/>
        <v>RJE</v>
      </c>
    </row>
    <row r="59" spans="1:11" x14ac:dyDescent="0.25">
      <c r="A59" t="s">
        <v>39</v>
      </c>
      <c r="B59" t="s">
        <v>40</v>
      </c>
      <c r="C59" s="170">
        <v>525</v>
      </c>
      <c r="D59" s="170">
        <v>158</v>
      </c>
      <c r="E59" s="170">
        <v>174</v>
      </c>
      <c r="F59" s="170">
        <v>193</v>
      </c>
      <c r="G59" s="120" t="s">
        <v>911</v>
      </c>
      <c r="H59" s="120">
        <v>190</v>
      </c>
      <c r="I59" s="145">
        <v>5.9999998658895493E-2</v>
      </c>
      <c r="J59" s="146">
        <v>1.1575071141123772E-2</v>
      </c>
      <c r="K59" t="str">
        <f t="shared" si="0"/>
        <v>RHM</v>
      </c>
    </row>
    <row r="60" spans="1:11" x14ac:dyDescent="0.25">
      <c r="A60" t="s">
        <v>360</v>
      </c>
      <c r="B60" t="s">
        <v>361</v>
      </c>
      <c r="C60" s="170">
        <v>240</v>
      </c>
      <c r="D60" s="170">
        <v>94</v>
      </c>
      <c r="E60" s="170">
        <v>86</v>
      </c>
      <c r="F60" s="170">
        <v>60</v>
      </c>
      <c r="G60" s="120" t="s">
        <v>942</v>
      </c>
      <c r="H60" s="120">
        <v>60</v>
      </c>
      <c r="I60" s="145">
        <v>0.10000000149011612</v>
      </c>
      <c r="J60" s="146">
        <v>1.3402429409325123E-2</v>
      </c>
      <c r="K60" t="str">
        <f t="shared" si="0"/>
        <v>RYR</v>
      </c>
    </row>
    <row r="61" spans="1:11" x14ac:dyDescent="0.25">
      <c r="A61" t="s">
        <v>77</v>
      </c>
      <c r="B61" t="s">
        <v>78</v>
      </c>
      <c r="C61" s="170">
        <v>487</v>
      </c>
      <c r="D61" s="170">
        <v>147</v>
      </c>
      <c r="E61" s="170">
        <v>154</v>
      </c>
      <c r="F61" s="170">
        <v>186</v>
      </c>
      <c r="G61" s="120" t="s">
        <v>943</v>
      </c>
      <c r="H61" s="120">
        <v>176</v>
      </c>
      <c r="I61" s="145">
        <v>0.11999999731779099</v>
      </c>
      <c r="J61" s="146">
        <v>4.3619953095912933E-2</v>
      </c>
      <c r="K61" t="str">
        <f t="shared" si="0"/>
        <v>RRK</v>
      </c>
    </row>
    <row r="62" spans="1:11" x14ac:dyDescent="0.25">
      <c r="A62" t="s">
        <v>56</v>
      </c>
      <c r="B62" t="s">
        <v>57</v>
      </c>
      <c r="C62" s="170">
        <v>226</v>
      </c>
      <c r="D62" s="170">
        <v>77</v>
      </c>
      <c r="E62" s="170">
        <v>86</v>
      </c>
      <c r="F62" s="170">
        <v>63</v>
      </c>
      <c r="G62" s="120" t="s">
        <v>944</v>
      </c>
      <c r="H62" s="120">
        <v>60</v>
      </c>
      <c r="I62" s="145">
        <v>0.10000000149011612</v>
      </c>
      <c r="J62" s="146">
        <v>4.4716518372297287E-2</v>
      </c>
      <c r="K62" t="str">
        <f t="shared" si="0"/>
        <v>RKB</v>
      </c>
    </row>
    <row r="63" spans="1:11" x14ac:dyDescent="0.25">
      <c r="A63" t="s">
        <v>336</v>
      </c>
      <c r="B63" t="s">
        <v>337</v>
      </c>
      <c r="C63" s="170">
        <v>169</v>
      </c>
      <c r="D63" s="170">
        <v>56</v>
      </c>
      <c r="E63" s="170">
        <v>77</v>
      </c>
      <c r="F63" s="170">
        <v>36</v>
      </c>
      <c r="G63" s="120" t="s">
        <v>945</v>
      </c>
      <c r="H63" s="120">
        <v>36</v>
      </c>
      <c r="I63" s="145">
        <v>7.9999998211860657E-2</v>
      </c>
      <c r="J63" s="146">
        <v>0</v>
      </c>
      <c r="K63" t="str">
        <f t="shared" si="0"/>
        <v>R0D</v>
      </c>
    </row>
    <row r="64" spans="1:11" x14ac:dyDescent="0.25">
      <c r="A64" t="s">
        <v>87</v>
      </c>
      <c r="B64" t="s">
        <v>228</v>
      </c>
      <c r="C64" s="170">
        <v>290</v>
      </c>
      <c r="D64" s="170">
        <v>87</v>
      </c>
      <c r="E64" s="170">
        <v>95</v>
      </c>
      <c r="F64" s="170">
        <v>108</v>
      </c>
      <c r="G64" s="120" t="s">
        <v>946</v>
      </c>
      <c r="H64" s="120">
        <v>103</v>
      </c>
      <c r="I64" s="145">
        <v>9.0000003576278687E-2</v>
      </c>
      <c r="J64" s="146">
        <v>3.6317657679319382E-2</v>
      </c>
      <c r="K64" t="str">
        <f t="shared" si="0"/>
        <v>RTG</v>
      </c>
    </row>
    <row r="65" spans="1:11" x14ac:dyDescent="0.25">
      <c r="A65" t="s">
        <v>99</v>
      </c>
      <c r="B65" t="s">
        <v>100</v>
      </c>
      <c r="C65" s="170">
        <v>389</v>
      </c>
      <c r="D65" s="170">
        <v>109</v>
      </c>
      <c r="E65" s="170">
        <v>144</v>
      </c>
      <c r="F65" s="170">
        <v>136</v>
      </c>
      <c r="G65" s="120" t="s">
        <v>891</v>
      </c>
      <c r="H65" s="120">
        <v>134</v>
      </c>
      <c r="I65" s="145">
        <v>7.0000000298023224E-2</v>
      </c>
      <c r="J65" s="146">
        <v>1.5836970880627632E-2</v>
      </c>
      <c r="K65" t="str">
        <f t="shared" si="0"/>
        <v>RWE</v>
      </c>
    </row>
    <row r="66" spans="1:11" x14ac:dyDescent="0.25">
      <c r="A66" t="s">
        <v>55</v>
      </c>
      <c r="B66" t="s">
        <v>159</v>
      </c>
      <c r="C66" s="170">
        <v>119</v>
      </c>
      <c r="D66" s="170">
        <v>41</v>
      </c>
      <c r="E66" s="170">
        <v>44</v>
      </c>
      <c r="F66" s="170">
        <v>34</v>
      </c>
      <c r="G66" s="120" t="s">
        <v>884</v>
      </c>
      <c r="H66" s="120">
        <v>33</v>
      </c>
      <c r="I66" s="145">
        <v>5.9999998658895493E-2</v>
      </c>
      <c r="J66" s="146">
        <v>2.1543426439166069E-2</v>
      </c>
      <c r="K66" t="str">
        <f t="shared" si="0"/>
        <v>RK9</v>
      </c>
    </row>
    <row r="67" spans="1:11" x14ac:dyDescent="0.25">
      <c r="A67" t="s">
        <v>101</v>
      </c>
      <c r="B67" t="s">
        <v>452</v>
      </c>
      <c r="C67" s="170">
        <v>119</v>
      </c>
      <c r="D67" s="170">
        <v>35</v>
      </c>
      <c r="E67" s="170">
        <v>46</v>
      </c>
      <c r="F67" s="170">
        <v>38</v>
      </c>
      <c r="G67" s="120" t="s">
        <v>947</v>
      </c>
      <c r="H67" s="120">
        <v>37</v>
      </c>
      <c r="I67" s="145">
        <v>0.18999999761581421</v>
      </c>
      <c r="J67" s="146">
        <v>3.8804654031991959E-2</v>
      </c>
      <c r="K67" t="str">
        <f t="shared" ref="K67:K69" si="1">A67</f>
        <v>RWG</v>
      </c>
    </row>
    <row r="68" spans="1:11" x14ac:dyDescent="0.25">
      <c r="A68" t="s">
        <v>105</v>
      </c>
      <c r="B68" t="s">
        <v>106</v>
      </c>
      <c r="C68" s="170">
        <v>352</v>
      </c>
      <c r="D68" s="170">
        <v>108</v>
      </c>
      <c r="E68" s="170">
        <v>122</v>
      </c>
      <c r="F68" s="170">
        <v>122</v>
      </c>
      <c r="G68" s="120" t="s">
        <v>904</v>
      </c>
      <c r="H68" s="120">
        <v>119</v>
      </c>
      <c r="I68" s="145">
        <v>0.17000000178813934</v>
      </c>
      <c r="J68" s="146">
        <v>2.6429133489727974E-2</v>
      </c>
      <c r="K68" t="str">
        <f t="shared" si="1"/>
        <v>RWP</v>
      </c>
    </row>
    <row r="69" spans="1:11" x14ac:dyDescent="0.25">
      <c r="A69" s="168" t="s">
        <v>22</v>
      </c>
      <c r="B69" s="168" t="s">
        <v>23</v>
      </c>
      <c r="C69" s="174">
        <v>333</v>
      </c>
      <c r="D69" s="174">
        <v>89</v>
      </c>
      <c r="E69" s="174">
        <v>136</v>
      </c>
      <c r="F69" s="174">
        <v>108</v>
      </c>
      <c r="G69" s="121" t="s">
        <v>948</v>
      </c>
      <c r="H69" s="121">
        <v>103</v>
      </c>
      <c r="I69" s="175">
        <v>0.17000000178813934</v>
      </c>
      <c r="J69" s="176">
        <v>4.7212116420269012E-2</v>
      </c>
      <c r="K69" t="str">
        <f t="shared" si="1"/>
        <v>RCB</v>
      </c>
    </row>
  </sheetData>
  <sortState ref="A2:L75">
    <sortCondition ref="B2"/>
  </sortState>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2"/>
  <sheetViews>
    <sheetView workbookViewId="0">
      <pane xSplit="2" ySplit="1" topLeftCell="D2" activePane="bottomRight" state="frozen"/>
      <selection pane="topRight" activeCell="C1" sqref="C1"/>
      <selection pane="bottomLeft" activeCell="A2" sqref="A2"/>
      <selection pane="bottomRight" activeCell="R2" sqref="R2"/>
    </sheetView>
  </sheetViews>
  <sheetFormatPr defaultRowHeight="15" x14ac:dyDescent="0.25"/>
  <cols>
    <col min="1" max="1" width="10.42578125" bestFit="1" customWidth="1"/>
    <col min="2" max="2" width="61" bestFit="1" customWidth="1"/>
    <col min="3" max="3" width="13.42578125" customWidth="1"/>
    <col min="4" max="4" width="12.85546875" customWidth="1"/>
    <col min="5" max="5" width="10.42578125" customWidth="1"/>
    <col min="6" max="6" width="10.5703125" customWidth="1"/>
    <col min="7" max="7" width="16.5703125" customWidth="1"/>
    <col min="8" max="8" width="14.140625" customWidth="1"/>
    <col min="9" max="9" width="14.28515625" customWidth="1"/>
    <col min="10" max="10" width="11.140625" customWidth="1"/>
    <col min="11" max="11" width="8" customWidth="1"/>
    <col min="12" max="12" width="11.28515625" customWidth="1"/>
    <col min="13" max="13" width="10.42578125" bestFit="1" customWidth="1"/>
    <col min="14" max="14" width="12.7109375" style="8" customWidth="1"/>
    <col min="15" max="16" width="11.42578125" style="8" customWidth="1"/>
    <col min="17" max="17" width="8.85546875" style="8" customWidth="1"/>
    <col min="18" max="18" width="9.42578125" style="189" bestFit="1" customWidth="1"/>
    <col min="19" max="22" width="9" bestFit="1" customWidth="1"/>
    <col min="30" max="30" width="8.7109375" bestFit="1" customWidth="1"/>
    <col min="31" max="32" width="6.42578125" bestFit="1" customWidth="1"/>
  </cols>
  <sheetData>
    <row r="1" spans="1:34" ht="60" x14ac:dyDescent="0.25">
      <c r="A1" s="62" t="s">
        <v>385</v>
      </c>
      <c r="B1" s="62" t="s">
        <v>139</v>
      </c>
      <c r="C1" s="109" t="s">
        <v>949</v>
      </c>
      <c r="D1" s="109" t="s">
        <v>477</v>
      </c>
      <c r="E1" s="109" t="s">
        <v>478</v>
      </c>
      <c r="F1" s="109" t="s">
        <v>950</v>
      </c>
      <c r="G1" s="109" t="s">
        <v>951</v>
      </c>
      <c r="H1" s="109" t="s">
        <v>952</v>
      </c>
      <c r="I1" s="110" t="s">
        <v>953</v>
      </c>
      <c r="J1" s="111" t="s">
        <v>954</v>
      </c>
      <c r="K1" s="111" t="s">
        <v>955</v>
      </c>
      <c r="L1" s="110" t="s">
        <v>479</v>
      </c>
      <c r="M1" s="62" t="s">
        <v>385</v>
      </c>
      <c r="N1" s="70" t="s">
        <v>480</v>
      </c>
      <c r="O1" s="70" t="s">
        <v>481</v>
      </c>
      <c r="P1" s="70" t="s">
        <v>482</v>
      </c>
      <c r="Q1" s="70" t="s">
        <v>483</v>
      </c>
      <c r="R1" s="186" t="s">
        <v>484</v>
      </c>
      <c r="S1" s="63"/>
      <c r="T1" s="64"/>
      <c r="U1" s="63"/>
      <c r="V1" s="64"/>
      <c r="W1" s="62"/>
      <c r="X1" s="38"/>
      <c r="Y1" s="7"/>
      <c r="Z1" s="7"/>
      <c r="AA1" s="7"/>
      <c r="AB1" s="7"/>
      <c r="AC1" s="7"/>
      <c r="AD1" s="27"/>
      <c r="AE1" s="27"/>
      <c r="AF1" s="27"/>
      <c r="AG1" s="73"/>
      <c r="AH1" s="73"/>
    </row>
    <row r="2" spans="1:34" x14ac:dyDescent="0.25">
      <c r="A2" t="s">
        <v>6</v>
      </c>
      <c r="B2" t="s">
        <v>7</v>
      </c>
      <c r="C2" s="170">
        <v>111</v>
      </c>
      <c r="D2" s="170">
        <v>10</v>
      </c>
      <c r="E2" s="170">
        <v>63</v>
      </c>
      <c r="F2" s="170">
        <v>38</v>
      </c>
      <c r="G2" s="119" t="s">
        <v>996</v>
      </c>
      <c r="H2" s="119">
        <v>38</v>
      </c>
      <c r="I2" s="112">
        <v>0.12999999523162842</v>
      </c>
      <c r="J2" s="177">
        <v>36</v>
      </c>
      <c r="K2" s="178">
        <v>0.75</v>
      </c>
      <c r="L2" s="146">
        <v>1.0208217427134514E-2</v>
      </c>
      <c r="M2" s="66" t="str">
        <f>A2</f>
        <v>7A6</v>
      </c>
      <c r="N2" s="185">
        <v>37</v>
      </c>
      <c r="O2" s="187">
        <v>0.57999999999999996</v>
      </c>
      <c r="P2" s="187">
        <v>0.88</v>
      </c>
      <c r="Q2" s="187">
        <f>K2-O2</f>
        <v>0.17000000000000004</v>
      </c>
      <c r="R2" s="188">
        <f>P2-K2</f>
        <v>0.13</v>
      </c>
      <c r="S2" s="65"/>
      <c r="T2" s="66"/>
      <c r="U2" s="65"/>
      <c r="V2" s="66"/>
      <c r="X2" s="39"/>
      <c r="Y2" s="39"/>
      <c r="Z2" s="67"/>
      <c r="AA2" s="71"/>
      <c r="AB2" s="66"/>
      <c r="AC2" s="66"/>
      <c r="AD2" s="69"/>
      <c r="AE2" s="39"/>
      <c r="AF2" s="39"/>
      <c r="AG2" s="48"/>
      <c r="AH2" s="48"/>
    </row>
    <row r="3" spans="1:34" x14ac:dyDescent="0.25">
      <c r="A3" t="s">
        <v>89</v>
      </c>
      <c r="B3" t="s">
        <v>290</v>
      </c>
      <c r="C3" s="170">
        <v>1</v>
      </c>
      <c r="D3" s="170">
        <v>1</v>
      </c>
      <c r="E3" s="170">
        <v>0</v>
      </c>
      <c r="F3" s="170">
        <v>0</v>
      </c>
      <c r="G3" s="95" t="s">
        <v>220</v>
      </c>
      <c r="H3" s="95" t="s">
        <v>220</v>
      </c>
      <c r="I3" s="95" t="s">
        <v>220</v>
      </c>
      <c r="J3" s="179">
        <v>0</v>
      </c>
      <c r="K3" s="95" t="s">
        <v>220</v>
      </c>
      <c r="L3" s="146" t="s">
        <v>227</v>
      </c>
      <c r="M3" s="66" t="str">
        <f t="shared" ref="M3:M66" si="0">A3</f>
        <v>RTK</v>
      </c>
      <c r="N3" s="185" t="e">
        <v>#N/A</v>
      </c>
      <c r="O3" s="187" t="e">
        <v>#VALUE!</v>
      </c>
      <c r="P3" s="187" t="e">
        <v>#VALUE!</v>
      </c>
      <c r="Q3" s="187" t="e">
        <f t="shared" ref="Q3:Q66" si="1">K3-O3</f>
        <v>#VALUE!</v>
      </c>
      <c r="R3" s="188" t="e">
        <f t="shared" ref="R3:R66" si="2">P3-K3</f>
        <v>#VALUE!</v>
      </c>
      <c r="S3" s="65"/>
      <c r="T3" s="66"/>
      <c r="U3" s="65"/>
      <c r="V3" s="66"/>
      <c r="X3" s="39"/>
      <c r="Y3" s="39"/>
      <c r="Z3" s="67"/>
      <c r="AA3" s="71"/>
      <c r="AB3" s="66"/>
      <c r="AC3" s="66"/>
      <c r="AD3" s="69"/>
      <c r="AE3" s="39"/>
      <c r="AF3" s="39"/>
      <c r="AG3" s="48"/>
      <c r="AH3" s="48"/>
    </row>
    <row r="4" spans="1:34" x14ac:dyDescent="0.25">
      <c r="A4" t="s">
        <v>30</v>
      </c>
      <c r="B4" t="s">
        <v>291</v>
      </c>
      <c r="C4" s="170">
        <v>375</v>
      </c>
      <c r="D4" s="170">
        <v>134</v>
      </c>
      <c r="E4" s="170">
        <v>127</v>
      </c>
      <c r="F4" s="170">
        <v>114</v>
      </c>
      <c r="G4" s="120" t="s">
        <v>997</v>
      </c>
      <c r="H4" s="120">
        <v>114</v>
      </c>
      <c r="I4" s="113">
        <v>0.12999999523162842</v>
      </c>
      <c r="J4" s="180">
        <v>67</v>
      </c>
      <c r="K4" s="172">
        <v>0.75999999046325684</v>
      </c>
      <c r="L4" s="146">
        <v>1.9150903448462486E-2</v>
      </c>
      <c r="M4" s="66" t="str">
        <f t="shared" si="0"/>
        <v>RF4</v>
      </c>
      <c r="N4" s="185">
        <v>40</v>
      </c>
      <c r="O4" s="187">
        <v>0.64</v>
      </c>
      <c r="P4" s="187">
        <v>0.86</v>
      </c>
      <c r="Q4" s="187">
        <f t="shared" si="1"/>
        <v>0.11999999046325682</v>
      </c>
      <c r="R4" s="188">
        <f t="shared" si="2"/>
        <v>0.10000000953674315</v>
      </c>
      <c r="S4" s="65"/>
      <c r="T4" s="66"/>
      <c r="U4" s="65"/>
      <c r="V4" s="66"/>
      <c r="Z4" s="66"/>
      <c r="AA4" s="72"/>
      <c r="AB4" s="66"/>
      <c r="AC4" s="66"/>
      <c r="AD4" s="69"/>
      <c r="AE4" s="39"/>
      <c r="AF4" s="39"/>
      <c r="AG4" s="48"/>
      <c r="AH4" s="48"/>
    </row>
    <row r="5" spans="1:34" x14ac:dyDescent="0.25">
      <c r="A5" t="s">
        <v>10</v>
      </c>
      <c r="B5" t="s">
        <v>11</v>
      </c>
      <c r="C5" s="170">
        <v>251</v>
      </c>
      <c r="D5" s="170">
        <v>154</v>
      </c>
      <c r="E5" s="170">
        <v>54</v>
      </c>
      <c r="F5" s="170">
        <v>43</v>
      </c>
      <c r="G5" s="120" t="s">
        <v>998</v>
      </c>
      <c r="H5" s="120">
        <v>42</v>
      </c>
      <c r="I5" s="113">
        <v>5.000000074505806E-2</v>
      </c>
      <c r="J5" s="180">
        <v>19</v>
      </c>
      <c r="K5" s="172">
        <v>0.4699999988079071</v>
      </c>
      <c r="L5" s="146">
        <v>2.9332118108868599E-2</v>
      </c>
      <c r="M5" s="66" t="str">
        <f t="shared" si="0"/>
        <v>R1H</v>
      </c>
      <c r="N5" s="185">
        <v>12</v>
      </c>
      <c r="O5" s="187">
        <v>0.24</v>
      </c>
      <c r="P5" s="187">
        <v>0.71</v>
      </c>
      <c r="Q5" s="187">
        <f t="shared" si="1"/>
        <v>0.22999999880790711</v>
      </c>
      <c r="R5" s="188">
        <f t="shared" si="2"/>
        <v>0.24000000119209286</v>
      </c>
      <c r="S5" s="65"/>
      <c r="T5" s="66"/>
      <c r="U5" s="65"/>
      <c r="V5" s="66"/>
      <c r="Z5" s="66"/>
      <c r="AA5" s="72"/>
      <c r="AB5" s="66"/>
      <c r="AC5" s="66"/>
      <c r="AD5" s="69"/>
      <c r="AE5" s="39"/>
      <c r="AF5" s="39"/>
      <c r="AG5" s="48"/>
      <c r="AH5" s="48"/>
    </row>
    <row r="6" spans="1:34" x14ac:dyDescent="0.25">
      <c r="A6" t="s">
        <v>417</v>
      </c>
      <c r="B6" t="s">
        <v>418</v>
      </c>
      <c r="C6" s="170">
        <v>397</v>
      </c>
      <c r="D6" s="170">
        <v>134</v>
      </c>
      <c r="E6" s="170">
        <v>129</v>
      </c>
      <c r="F6" s="170">
        <v>134</v>
      </c>
      <c r="G6" s="120" t="s">
        <v>999</v>
      </c>
      <c r="H6" s="120">
        <v>133</v>
      </c>
      <c r="I6" s="113">
        <v>5.000000074505806E-2</v>
      </c>
      <c r="J6" s="180">
        <v>95</v>
      </c>
      <c r="K6" s="172">
        <v>0.86000001430511475</v>
      </c>
      <c r="L6" s="146">
        <v>9.4934757798910141E-3</v>
      </c>
      <c r="M6" s="66" t="str">
        <f t="shared" si="0"/>
        <v>RC9</v>
      </c>
      <c r="N6" s="185">
        <v>49</v>
      </c>
      <c r="O6" s="187">
        <v>0.78</v>
      </c>
      <c r="P6" s="187">
        <v>0.93</v>
      </c>
      <c r="Q6" s="187">
        <f t="shared" si="1"/>
        <v>8.0000014305114719E-2</v>
      </c>
      <c r="R6" s="188">
        <f t="shared" si="2"/>
        <v>6.9999985694885303E-2</v>
      </c>
      <c r="S6" s="65"/>
      <c r="T6" s="66"/>
      <c r="U6" s="65"/>
      <c r="V6" s="66"/>
      <c r="Z6" s="66"/>
      <c r="AA6" s="72"/>
      <c r="AB6" s="66"/>
      <c r="AC6" s="66"/>
      <c r="AD6" s="69"/>
      <c r="AE6" s="39"/>
      <c r="AF6" s="39"/>
      <c r="AG6" s="48"/>
      <c r="AH6" s="48"/>
    </row>
    <row r="7" spans="1:34" x14ac:dyDescent="0.25">
      <c r="A7" s="164" t="s">
        <v>137</v>
      </c>
      <c r="B7" s="164" t="s">
        <v>138</v>
      </c>
      <c r="C7" s="171">
        <v>321</v>
      </c>
      <c r="D7" s="171">
        <v>85</v>
      </c>
      <c r="E7" s="171">
        <v>108</v>
      </c>
      <c r="F7" s="171">
        <v>128</v>
      </c>
      <c r="G7" s="120" t="s">
        <v>1000</v>
      </c>
      <c r="H7" s="120">
        <v>127</v>
      </c>
      <c r="I7" s="113">
        <v>0.20000000298023224</v>
      </c>
      <c r="J7" s="179">
        <v>110</v>
      </c>
      <c r="K7" s="172">
        <v>0.6600000262260437</v>
      </c>
      <c r="L7" s="173">
        <v>1.0496840812265873E-2</v>
      </c>
      <c r="M7" s="66" t="str">
        <f t="shared" si="0"/>
        <v>ZT001</v>
      </c>
      <c r="N7" s="185">
        <v>29</v>
      </c>
      <c r="O7" s="187">
        <v>0.56999999999999995</v>
      </c>
      <c r="P7" s="187">
        <v>0.75</v>
      </c>
      <c r="Q7" s="187">
        <f t="shared" si="1"/>
        <v>9.000002622604375E-2</v>
      </c>
      <c r="R7" s="188">
        <f t="shared" si="2"/>
        <v>8.9999973773956299E-2</v>
      </c>
      <c r="S7" s="65"/>
      <c r="T7" s="66"/>
      <c r="U7" s="65"/>
      <c r="V7" s="66"/>
      <c r="Z7" s="66"/>
      <c r="AA7" s="72"/>
      <c r="AB7" s="66"/>
      <c r="AC7" s="66"/>
      <c r="AD7" s="69"/>
      <c r="AE7" s="39"/>
      <c r="AF7" s="39"/>
      <c r="AG7" s="48"/>
      <c r="AH7" s="48"/>
    </row>
    <row r="8" spans="1:34" x14ac:dyDescent="0.25">
      <c r="A8" t="s">
        <v>0</v>
      </c>
      <c r="B8" t="s">
        <v>1</v>
      </c>
      <c r="C8" s="170">
        <v>8</v>
      </c>
      <c r="D8" s="170">
        <v>3</v>
      </c>
      <c r="E8" s="170">
        <v>2</v>
      </c>
      <c r="F8" s="170">
        <v>3</v>
      </c>
      <c r="G8" s="120" t="s">
        <v>227</v>
      </c>
      <c r="H8" s="120">
        <v>3</v>
      </c>
      <c r="I8" s="113" t="s">
        <v>227</v>
      </c>
      <c r="J8" s="179">
        <v>1</v>
      </c>
      <c r="K8" s="172" t="s">
        <v>227</v>
      </c>
      <c r="L8" s="146">
        <v>0</v>
      </c>
      <c r="M8" s="66" t="str">
        <f t="shared" si="0"/>
        <v>7A1</v>
      </c>
      <c r="N8" s="185" t="e">
        <v>#N/A</v>
      </c>
      <c r="O8" s="187">
        <v>0.03</v>
      </c>
      <c r="P8" s="187">
        <v>1</v>
      </c>
      <c r="Q8" s="187" t="e">
        <f t="shared" si="1"/>
        <v>#VALUE!</v>
      </c>
      <c r="R8" s="188" t="e">
        <f t="shared" si="2"/>
        <v>#VALUE!</v>
      </c>
      <c r="S8" s="65"/>
      <c r="T8" s="66"/>
      <c r="U8" s="65"/>
      <c r="V8" s="66"/>
      <c r="X8" s="39"/>
      <c r="Y8" s="39"/>
      <c r="Z8" s="67"/>
      <c r="AA8" s="71"/>
      <c r="AB8" s="66"/>
      <c r="AC8" s="66"/>
      <c r="AD8" s="69"/>
      <c r="AE8" s="39"/>
      <c r="AF8" s="39"/>
      <c r="AG8" s="48"/>
      <c r="AH8" s="48"/>
    </row>
    <row r="9" spans="1:34" x14ac:dyDescent="0.25">
      <c r="A9" t="s">
        <v>62</v>
      </c>
      <c r="B9" t="s">
        <v>63</v>
      </c>
      <c r="C9" s="170">
        <v>111</v>
      </c>
      <c r="D9" s="170">
        <v>56</v>
      </c>
      <c r="E9" s="170">
        <v>37</v>
      </c>
      <c r="F9" s="170">
        <v>18</v>
      </c>
      <c r="G9" s="120" t="s">
        <v>1001</v>
      </c>
      <c r="H9" s="120">
        <v>18</v>
      </c>
      <c r="I9" s="113">
        <v>5.9999998658895493E-2</v>
      </c>
      <c r="J9" s="180">
        <v>16</v>
      </c>
      <c r="K9" s="172">
        <v>0.93999999761581421</v>
      </c>
      <c r="L9" s="146">
        <v>0</v>
      </c>
      <c r="M9" s="66" t="str">
        <f t="shared" si="0"/>
        <v>RMC</v>
      </c>
      <c r="N9" s="185">
        <v>56</v>
      </c>
      <c r="O9" s="187">
        <v>0.7</v>
      </c>
      <c r="P9" s="187">
        <v>1</v>
      </c>
      <c r="Q9" s="187">
        <f t="shared" si="1"/>
        <v>0.23999999761581425</v>
      </c>
      <c r="R9" s="188">
        <f t="shared" si="2"/>
        <v>6.0000002384185791E-2</v>
      </c>
      <c r="S9" s="65"/>
      <c r="T9" s="66"/>
      <c r="U9" s="65"/>
      <c r="V9" s="66"/>
      <c r="X9" s="39"/>
      <c r="Z9" s="67"/>
      <c r="AA9" s="71"/>
      <c r="AB9" s="66"/>
      <c r="AC9" s="66"/>
      <c r="AD9" s="69"/>
      <c r="AE9" s="39"/>
      <c r="AF9" s="39"/>
      <c r="AG9" s="48"/>
      <c r="AH9" s="48"/>
    </row>
    <row r="10" spans="1:34" x14ac:dyDescent="0.25">
      <c r="A10" t="s">
        <v>15</v>
      </c>
      <c r="B10" t="s">
        <v>16</v>
      </c>
      <c r="C10" s="170">
        <v>34</v>
      </c>
      <c r="D10" s="170">
        <v>0</v>
      </c>
      <c r="E10" s="170">
        <v>0</v>
      </c>
      <c r="F10" s="170">
        <v>34</v>
      </c>
      <c r="G10" s="120" t="s">
        <v>1002</v>
      </c>
      <c r="H10" s="120">
        <v>34</v>
      </c>
      <c r="I10" s="113">
        <v>0.23999999463558197</v>
      </c>
      <c r="J10" s="179">
        <v>0</v>
      </c>
      <c r="K10" s="113" t="s">
        <v>227</v>
      </c>
      <c r="L10" s="146">
        <v>0</v>
      </c>
      <c r="M10" s="66" t="str">
        <f t="shared" si="0"/>
        <v>RAE</v>
      </c>
      <c r="N10" s="185" t="e">
        <v>#N/A</v>
      </c>
      <c r="O10" s="187" t="e">
        <v>#VALUE!</v>
      </c>
      <c r="P10" s="187" t="e">
        <v>#VALUE!</v>
      </c>
      <c r="Q10" s="187" t="e">
        <f t="shared" si="1"/>
        <v>#VALUE!</v>
      </c>
      <c r="R10" s="188" t="e">
        <f t="shared" si="2"/>
        <v>#VALUE!</v>
      </c>
      <c r="S10" s="65"/>
      <c r="T10" s="66"/>
      <c r="U10" s="65"/>
      <c r="V10" s="66"/>
      <c r="X10" s="39"/>
      <c r="Y10" s="39"/>
      <c r="Z10" s="67"/>
      <c r="AA10" s="71"/>
      <c r="AB10" s="66"/>
      <c r="AC10" s="66"/>
      <c r="AD10" s="69"/>
      <c r="AE10" s="39"/>
      <c r="AF10" s="39"/>
      <c r="AG10" s="48"/>
      <c r="AH10" s="48"/>
    </row>
    <row r="11" spans="1:34" x14ac:dyDescent="0.25">
      <c r="A11" t="s">
        <v>107</v>
      </c>
      <c r="B11" t="s">
        <v>108</v>
      </c>
      <c r="C11" s="170">
        <v>0</v>
      </c>
      <c r="D11" s="170">
        <v>0</v>
      </c>
      <c r="E11" s="170">
        <v>0</v>
      </c>
      <c r="F11" s="170">
        <v>0</v>
      </c>
      <c r="G11" s="95" t="s">
        <v>220</v>
      </c>
      <c r="H11" s="95" t="s">
        <v>220</v>
      </c>
      <c r="I11" s="95" t="s">
        <v>220</v>
      </c>
      <c r="J11" s="179">
        <v>0</v>
      </c>
      <c r="K11" s="95" t="s">
        <v>220</v>
      </c>
      <c r="L11" s="95" t="s">
        <v>220</v>
      </c>
      <c r="M11" s="66" t="str">
        <f t="shared" si="0"/>
        <v>RWY</v>
      </c>
      <c r="N11" s="185" t="e">
        <v>#N/A</v>
      </c>
      <c r="O11" s="187" t="e">
        <v>#VALUE!</v>
      </c>
      <c r="P11" s="187" t="e">
        <v>#VALUE!</v>
      </c>
      <c r="Q11" s="187" t="e">
        <f t="shared" si="1"/>
        <v>#VALUE!</v>
      </c>
      <c r="R11" s="188" t="e">
        <f t="shared" si="2"/>
        <v>#VALUE!</v>
      </c>
      <c r="S11" s="65"/>
      <c r="T11" s="66"/>
      <c r="U11" s="65"/>
      <c r="V11" s="66"/>
      <c r="X11" s="39"/>
      <c r="Y11" s="39"/>
      <c r="Z11" s="66"/>
      <c r="AA11" s="71"/>
      <c r="AB11" s="66"/>
      <c r="AC11" s="66"/>
      <c r="AD11" s="69"/>
      <c r="AE11" s="39"/>
      <c r="AF11" s="39"/>
      <c r="AG11" s="48"/>
      <c r="AH11" s="48"/>
    </row>
    <row r="12" spans="1:34" x14ac:dyDescent="0.25">
      <c r="A12" t="s">
        <v>35</v>
      </c>
      <c r="B12" t="s">
        <v>36</v>
      </c>
      <c r="C12" s="170">
        <v>121</v>
      </c>
      <c r="D12" s="170">
        <v>40</v>
      </c>
      <c r="E12" s="170">
        <v>18</v>
      </c>
      <c r="F12" s="170">
        <v>63</v>
      </c>
      <c r="G12" s="120" t="s">
        <v>1003</v>
      </c>
      <c r="H12" s="120">
        <v>63</v>
      </c>
      <c r="I12" s="113">
        <v>1.9999999552965164E-2</v>
      </c>
      <c r="J12" s="180">
        <v>48</v>
      </c>
      <c r="K12" s="172">
        <v>0.76999998092651367</v>
      </c>
      <c r="L12" s="146">
        <v>1.170450821518898E-2</v>
      </c>
      <c r="M12" s="66" t="str">
        <f t="shared" si="0"/>
        <v>RGT</v>
      </c>
      <c r="N12" s="185">
        <v>41</v>
      </c>
      <c r="O12" s="187">
        <v>0.63</v>
      </c>
      <c r="P12" s="187">
        <v>0.88</v>
      </c>
      <c r="Q12" s="187">
        <f t="shared" si="1"/>
        <v>0.13999998092651367</v>
      </c>
      <c r="R12" s="188">
        <f t="shared" si="2"/>
        <v>0.11000001907348633</v>
      </c>
      <c r="S12" s="65"/>
      <c r="T12" s="66"/>
      <c r="U12" s="65"/>
      <c r="V12" s="66"/>
      <c r="X12" s="39"/>
      <c r="Z12" s="67"/>
      <c r="AA12" s="72"/>
      <c r="AB12" s="66"/>
      <c r="AC12" s="66"/>
      <c r="AD12" s="69"/>
      <c r="AE12" s="39"/>
      <c r="AF12" s="39"/>
      <c r="AG12" s="48"/>
      <c r="AH12" s="48"/>
    </row>
    <row r="13" spans="1:34" x14ac:dyDescent="0.25">
      <c r="A13" t="s">
        <v>3</v>
      </c>
      <c r="B13" t="s">
        <v>4</v>
      </c>
      <c r="C13" s="170">
        <v>191</v>
      </c>
      <c r="D13" s="170">
        <v>27</v>
      </c>
      <c r="E13" s="170">
        <v>45</v>
      </c>
      <c r="F13" s="170">
        <v>119</v>
      </c>
      <c r="G13" s="120" t="s">
        <v>1004</v>
      </c>
      <c r="H13" s="120">
        <v>118</v>
      </c>
      <c r="I13" s="113">
        <v>0.18999999761581421</v>
      </c>
      <c r="J13" s="180">
        <v>53</v>
      </c>
      <c r="K13" s="172">
        <v>5.9999998658895493E-2</v>
      </c>
      <c r="L13" s="146">
        <v>1.5411552973091602E-2</v>
      </c>
      <c r="M13" s="66" t="str">
        <f t="shared" si="0"/>
        <v>7A4</v>
      </c>
      <c r="N13" s="185">
        <v>2</v>
      </c>
      <c r="O13" s="187">
        <v>0.01</v>
      </c>
      <c r="P13" s="187">
        <v>0.16</v>
      </c>
      <c r="Q13" s="187">
        <f t="shared" si="1"/>
        <v>4.9999998658895491E-2</v>
      </c>
      <c r="R13" s="188">
        <f t="shared" si="2"/>
        <v>0.10000000134110451</v>
      </c>
      <c r="S13" s="65"/>
      <c r="T13" s="66"/>
      <c r="U13" s="65"/>
      <c r="V13" s="66"/>
      <c r="X13" s="39"/>
      <c r="Y13" s="39"/>
      <c r="Z13" s="66"/>
      <c r="AA13" s="71"/>
      <c r="AB13" s="66"/>
      <c r="AC13" s="66"/>
      <c r="AD13" s="69"/>
      <c r="AE13" s="39"/>
      <c r="AF13" s="39"/>
      <c r="AG13" s="48"/>
      <c r="AH13" s="48"/>
    </row>
    <row r="14" spans="1:34" x14ac:dyDescent="0.25">
      <c r="A14" t="s">
        <v>51</v>
      </c>
      <c r="B14" t="s">
        <v>52</v>
      </c>
      <c r="C14" s="170">
        <v>347</v>
      </c>
      <c r="D14" s="170">
        <v>102</v>
      </c>
      <c r="E14" s="170">
        <v>66</v>
      </c>
      <c r="F14" s="170">
        <v>179</v>
      </c>
      <c r="G14" s="120" t="s">
        <v>1005</v>
      </c>
      <c r="H14" s="120">
        <v>178</v>
      </c>
      <c r="I14" s="113">
        <v>7.9999998211860657E-2</v>
      </c>
      <c r="J14" s="180">
        <v>121</v>
      </c>
      <c r="K14" s="172">
        <v>0.41999998688697815</v>
      </c>
      <c r="L14" s="146">
        <v>1.2035803869366646E-2</v>
      </c>
      <c r="M14" s="66" t="str">
        <f t="shared" si="0"/>
        <v>RJR</v>
      </c>
      <c r="N14" s="185">
        <v>11</v>
      </c>
      <c r="O14" s="187">
        <v>0.33</v>
      </c>
      <c r="P14" s="187">
        <v>0.51</v>
      </c>
      <c r="Q14" s="187">
        <f t="shared" si="1"/>
        <v>8.9999986886978134E-2</v>
      </c>
      <c r="R14" s="188">
        <f t="shared" si="2"/>
        <v>9.0000013113021859E-2</v>
      </c>
      <c r="S14" s="65"/>
      <c r="T14" s="66"/>
      <c r="U14" s="65"/>
      <c r="V14" s="66"/>
      <c r="Z14" s="66"/>
      <c r="AA14" s="72"/>
      <c r="AB14" s="66"/>
      <c r="AC14" s="66"/>
      <c r="AD14" s="69"/>
      <c r="AE14" s="39"/>
      <c r="AF14" s="39"/>
      <c r="AG14" s="48"/>
      <c r="AH14" s="48"/>
    </row>
    <row r="15" spans="1:34" x14ac:dyDescent="0.25">
      <c r="A15" t="s">
        <v>5</v>
      </c>
      <c r="B15" t="s">
        <v>292</v>
      </c>
      <c r="C15" s="170">
        <v>0</v>
      </c>
      <c r="D15" s="170">
        <v>0</v>
      </c>
      <c r="E15" s="170">
        <v>0</v>
      </c>
      <c r="F15" s="170">
        <v>0</v>
      </c>
      <c r="G15" s="95" t="s">
        <v>220</v>
      </c>
      <c r="H15" s="95" t="s">
        <v>220</v>
      </c>
      <c r="I15" s="95" t="s">
        <v>220</v>
      </c>
      <c r="J15" s="179">
        <v>0</v>
      </c>
      <c r="K15" s="95" t="s">
        <v>220</v>
      </c>
      <c r="L15" s="95" t="s">
        <v>220</v>
      </c>
      <c r="M15" s="66" t="str">
        <f t="shared" si="0"/>
        <v>7A5</v>
      </c>
      <c r="N15" s="185" t="e">
        <v>#N/A</v>
      </c>
      <c r="O15" s="187" t="e">
        <v>#VALUE!</v>
      </c>
      <c r="P15" s="187" t="e">
        <v>#VALUE!</v>
      </c>
      <c r="Q15" s="187" t="e">
        <f t="shared" si="1"/>
        <v>#VALUE!</v>
      </c>
      <c r="R15" s="188" t="e">
        <f t="shared" si="2"/>
        <v>#VALUE!</v>
      </c>
      <c r="S15" s="65"/>
      <c r="T15" s="66"/>
      <c r="U15" s="65"/>
      <c r="V15" s="66"/>
      <c r="X15" s="39"/>
      <c r="Y15" s="39"/>
      <c r="Z15" s="67"/>
      <c r="AA15" s="72"/>
      <c r="AB15" s="66"/>
      <c r="AC15" s="66"/>
      <c r="AD15" s="69"/>
      <c r="AE15" s="39"/>
      <c r="AF15" s="39"/>
      <c r="AG15" s="48"/>
      <c r="AH15" s="48"/>
    </row>
    <row r="16" spans="1:34" x14ac:dyDescent="0.25">
      <c r="A16" t="s">
        <v>68</v>
      </c>
      <c r="B16" t="s">
        <v>293</v>
      </c>
      <c r="C16" s="170">
        <v>3</v>
      </c>
      <c r="D16" s="170">
        <v>0</v>
      </c>
      <c r="E16" s="170">
        <v>0</v>
      </c>
      <c r="F16" s="170">
        <v>3</v>
      </c>
      <c r="G16" s="120" t="s">
        <v>1000</v>
      </c>
      <c r="H16" s="120">
        <v>3</v>
      </c>
      <c r="I16" s="113" t="s">
        <v>227</v>
      </c>
      <c r="J16" s="179">
        <v>2</v>
      </c>
      <c r="K16" s="172" t="s">
        <v>227</v>
      </c>
      <c r="L16" s="146" t="s">
        <v>227</v>
      </c>
      <c r="M16" s="66" t="str">
        <f t="shared" si="0"/>
        <v>RP5</v>
      </c>
      <c r="N16" s="185" t="e">
        <v>#N/A</v>
      </c>
      <c r="O16" s="187">
        <v>0.16</v>
      </c>
      <c r="P16" s="187">
        <v>1</v>
      </c>
      <c r="Q16" s="187" t="e">
        <f t="shared" si="1"/>
        <v>#VALUE!</v>
      </c>
      <c r="R16" s="188" t="e">
        <f t="shared" si="2"/>
        <v>#VALUE!</v>
      </c>
      <c r="S16" s="65"/>
      <c r="T16" s="66"/>
      <c r="U16" s="65"/>
      <c r="V16" s="66"/>
      <c r="X16" s="39"/>
      <c r="Y16" s="39"/>
      <c r="Z16" s="67"/>
      <c r="AA16" s="71"/>
      <c r="AB16" s="66"/>
      <c r="AC16" s="66"/>
      <c r="AD16" s="69"/>
      <c r="AE16" s="39"/>
      <c r="AF16" s="39"/>
      <c r="AG16" s="48"/>
      <c r="AH16" s="48"/>
    </row>
    <row r="17" spans="1:34" x14ac:dyDescent="0.25">
      <c r="A17" t="s">
        <v>103</v>
      </c>
      <c r="B17" t="s">
        <v>104</v>
      </c>
      <c r="C17" s="170">
        <v>94</v>
      </c>
      <c r="D17" s="170">
        <v>2</v>
      </c>
      <c r="E17" s="170">
        <v>32</v>
      </c>
      <c r="F17" s="170">
        <v>60</v>
      </c>
      <c r="G17" s="120" t="s">
        <v>1006</v>
      </c>
      <c r="H17" s="120">
        <v>57</v>
      </c>
      <c r="I17" s="113">
        <v>3.9999999105930328E-2</v>
      </c>
      <c r="J17" s="180">
        <v>28</v>
      </c>
      <c r="K17" s="172">
        <v>0.81999999284744263</v>
      </c>
      <c r="L17" s="146">
        <v>4.0637589991092682E-2</v>
      </c>
      <c r="M17" s="66" t="str">
        <f t="shared" si="0"/>
        <v>RWH</v>
      </c>
      <c r="N17" s="185">
        <v>45</v>
      </c>
      <c r="O17" s="187">
        <v>0.63</v>
      </c>
      <c r="P17" s="187">
        <v>0.94</v>
      </c>
      <c r="Q17" s="187">
        <f t="shared" si="1"/>
        <v>0.18999999284744262</v>
      </c>
      <c r="R17" s="188">
        <f t="shared" si="2"/>
        <v>0.12000000715255732</v>
      </c>
      <c r="S17" s="65"/>
      <c r="T17" s="66"/>
      <c r="U17" s="65"/>
      <c r="V17" s="66"/>
      <c r="X17" s="39"/>
      <c r="Y17" s="39"/>
      <c r="Z17" s="66"/>
      <c r="AA17" s="72"/>
      <c r="AB17" s="66"/>
      <c r="AC17" s="66"/>
      <c r="AD17" s="69"/>
      <c r="AE17" s="39"/>
      <c r="AF17" s="39"/>
      <c r="AG17" s="48"/>
      <c r="AH17" s="48"/>
    </row>
    <row r="18" spans="1:34" x14ac:dyDescent="0.25">
      <c r="A18" t="s">
        <v>94</v>
      </c>
      <c r="B18" t="s">
        <v>95</v>
      </c>
      <c r="C18" s="170">
        <v>92</v>
      </c>
      <c r="D18" s="170">
        <v>35</v>
      </c>
      <c r="E18" s="170">
        <v>35</v>
      </c>
      <c r="F18" s="170">
        <v>22</v>
      </c>
      <c r="G18" s="120" t="s">
        <v>1007</v>
      </c>
      <c r="H18" s="120">
        <v>22</v>
      </c>
      <c r="I18" s="113">
        <v>5.000000074505806E-2</v>
      </c>
      <c r="J18" s="180">
        <v>14</v>
      </c>
      <c r="K18" s="172">
        <v>0.14000000059604645</v>
      </c>
      <c r="L18" s="146">
        <v>0</v>
      </c>
      <c r="M18" s="66" t="str">
        <f t="shared" si="0"/>
        <v>RVV</v>
      </c>
      <c r="N18" s="185">
        <v>4</v>
      </c>
      <c r="O18" s="187">
        <v>0.02</v>
      </c>
      <c r="P18" s="187">
        <v>0.43</v>
      </c>
      <c r="Q18" s="187">
        <f t="shared" si="1"/>
        <v>0.12000000059604644</v>
      </c>
      <c r="R18" s="188">
        <f t="shared" si="2"/>
        <v>0.28999999940395355</v>
      </c>
      <c r="S18" s="65"/>
      <c r="T18" s="66"/>
      <c r="U18" s="65"/>
      <c r="V18" s="66"/>
      <c r="X18" s="39"/>
      <c r="Y18" s="39"/>
      <c r="Z18" s="67"/>
      <c r="AA18" s="71"/>
      <c r="AB18" s="66"/>
      <c r="AC18" s="66"/>
      <c r="AD18" s="69"/>
      <c r="AE18" s="39"/>
      <c r="AF18" s="39"/>
      <c r="AG18" s="48"/>
      <c r="AH18" s="48"/>
    </row>
    <row r="19" spans="1:34" x14ac:dyDescent="0.25">
      <c r="A19" t="s">
        <v>115</v>
      </c>
      <c r="B19" t="s">
        <v>116</v>
      </c>
      <c r="C19" s="170">
        <v>717</v>
      </c>
      <c r="D19" s="170">
        <v>286</v>
      </c>
      <c r="E19" s="170">
        <v>239</v>
      </c>
      <c r="F19" s="170">
        <v>192</v>
      </c>
      <c r="G19" s="120" t="s">
        <v>1008</v>
      </c>
      <c r="H19" s="120">
        <v>190</v>
      </c>
      <c r="I19" s="113">
        <v>7.0000000298023224E-2</v>
      </c>
      <c r="J19" s="179">
        <v>165</v>
      </c>
      <c r="K19" s="172">
        <v>0.61000001430511475</v>
      </c>
      <c r="L19" s="146">
        <v>2.0054934546351433E-2</v>
      </c>
      <c r="M19" s="66" t="str">
        <f t="shared" si="0"/>
        <v>RXR</v>
      </c>
      <c r="N19" s="185">
        <v>23</v>
      </c>
      <c r="O19" s="187">
        <v>0.53</v>
      </c>
      <c r="P19" s="187">
        <v>0.68</v>
      </c>
      <c r="Q19" s="187">
        <f t="shared" si="1"/>
        <v>8.0000014305114719E-2</v>
      </c>
      <c r="R19" s="188">
        <f t="shared" si="2"/>
        <v>6.9999985694885303E-2</v>
      </c>
      <c r="S19" s="65"/>
      <c r="T19" s="66"/>
      <c r="U19" s="65"/>
      <c r="V19" s="66"/>
      <c r="Z19" s="66"/>
      <c r="AA19" s="72"/>
      <c r="AB19" s="66"/>
      <c r="AC19" s="66"/>
      <c r="AD19" s="69"/>
      <c r="AE19" s="39"/>
      <c r="AF19" s="39"/>
      <c r="AG19" s="48"/>
      <c r="AH19" s="48"/>
    </row>
    <row r="20" spans="1:34" x14ac:dyDescent="0.25">
      <c r="A20" t="s">
        <v>24</v>
      </c>
      <c r="B20" t="s">
        <v>160</v>
      </c>
      <c r="C20" s="170">
        <v>461</v>
      </c>
      <c r="D20" s="170">
        <v>52</v>
      </c>
      <c r="E20" s="170">
        <v>101</v>
      </c>
      <c r="F20" s="170">
        <v>308</v>
      </c>
      <c r="G20" s="120" t="s">
        <v>1009</v>
      </c>
      <c r="H20" s="120">
        <v>305</v>
      </c>
      <c r="I20" s="113">
        <v>7.0000000298023224E-2</v>
      </c>
      <c r="J20" s="179">
        <v>272</v>
      </c>
      <c r="K20" s="172">
        <v>0.15000000596046448</v>
      </c>
      <c r="L20" s="146">
        <v>8.998584933578968E-3</v>
      </c>
      <c r="M20" s="66" t="str">
        <f t="shared" si="0"/>
        <v>RDE</v>
      </c>
      <c r="N20" s="185">
        <v>5</v>
      </c>
      <c r="O20" s="187">
        <v>0.11</v>
      </c>
      <c r="P20" s="187">
        <v>0.2</v>
      </c>
      <c r="Q20" s="187">
        <f t="shared" si="1"/>
        <v>4.0000005960464477E-2</v>
      </c>
      <c r="R20" s="188">
        <f t="shared" si="2"/>
        <v>4.9999994039535534E-2</v>
      </c>
      <c r="S20" s="65"/>
      <c r="T20" s="66"/>
      <c r="U20" s="65"/>
      <c r="V20" s="66"/>
      <c r="Z20" s="66"/>
      <c r="AA20" s="72"/>
      <c r="AB20" s="66"/>
      <c r="AC20" s="66"/>
      <c r="AD20" s="69"/>
      <c r="AE20" s="39"/>
      <c r="AF20" s="39"/>
      <c r="AG20" s="48"/>
      <c r="AH20" s="48"/>
    </row>
    <row r="21" spans="1:34" x14ac:dyDescent="0.25">
      <c r="A21" t="s">
        <v>25</v>
      </c>
      <c r="B21" t="s">
        <v>26</v>
      </c>
      <c r="C21" s="170">
        <v>215</v>
      </c>
      <c r="D21" s="170">
        <v>129</v>
      </c>
      <c r="E21" s="170">
        <v>2</v>
      </c>
      <c r="F21" s="170">
        <v>84</v>
      </c>
      <c r="G21" s="120" t="s">
        <v>1010</v>
      </c>
      <c r="H21" s="120">
        <v>81</v>
      </c>
      <c r="I21" s="113">
        <v>3.9999999105930328E-2</v>
      </c>
      <c r="J21" s="180">
        <v>54</v>
      </c>
      <c r="K21" s="172">
        <v>0.51999998092651367</v>
      </c>
      <c r="L21" s="146">
        <v>2.3378007113933563E-2</v>
      </c>
      <c r="M21" s="66" t="str">
        <f t="shared" si="0"/>
        <v>RDU</v>
      </c>
      <c r="N21" s="185">
        <v>16</v>
      </c>
      <c r="O21" s="187">
        <v>0.38</v>
      </c>
      <c r="P21" s="187">
        <v>0.66</v>
      </c>
      <c r="Q21" s="187">
        <f t="shared" si="1"/>
        <v>0.13999998092651367</v>
      </c>
      <c r="R21" s="188">
        <f t="shared" si="2"/>
        <v>0.14000001907348636</v>
      </c>
      <c r="S21" s="65"/>
      <c r="T21" s="66"/>
      <c r="U21" s="65"/>
      <c r="V21" s="66"/>
      <c r="X21" s="39"/>
      <c r="Z21" s="66"/>
      <c r="AA21" s="72"/>
      <c r="AB21" s="66"/>
      <c r="AC21" s="66"/>
      <c r="AD21" s="69"/>
      <c r="AE21" s="39"/>
      <c r="AF21" s="39"/>
      <c r="AG21" s="48"/>
      <c r="AH21" s="48"/>
    </row>
    <row r="22" spans="1:34" x14ac:dyDescent="0.25">
      <c r="A22" t="s">
        <v>73</v>
      </c>
      <c r="B22" t="s">
        <v>74</v>
      </c>
      <c r="C22" s="170">
        <v>23</v>
      </c>
      <c r="D22" s="170">
        <v>15</v>
      </c>
      <c r="E22" s="170">
        <v>7</v>
      </c>
      <c r="F22" s="170">
        <v>1</v>
      </c>
      <c r="G22" s="120" t="s">
        <v>1001</v>
      </c>
      <c r="H22" s="120">
        <v>1</v>
      </c>
      <c r="I22" s="113" t="s">
        <v>227</v>
      </c>
      <c r="J22" s="179">
        <v>1</v>
      </c>
      <c r="K22" s="172" t="s">
        <v>227</v>
      </c>
      <c r="L22" s="146">
        <v>0</v>
      </c>
      <c r="M22" s="66" t="str">
        <f t="shared" si="0"/>
        <v>RR7</v>
      </c>
      <c r="N22" s="185" t="e">
        <v>#N/A</v>
      </c>
      <c r="O22" s="187">
        <v>0.03</v>
      </c>
      <c r="P22" s="187">
        <v>1</v>
      </c>
      <c r="Q22" s="187" t="e">
        <f t="shared" si="1"/>
        <v>#VALUE!</v>
      </c>
      <c r="R22" s="188" t="e">
        <f t="shared" si="2"/>
        <v>#VALUE!</v>
      </c>
      <c r="S22" s="65"/>
      <c r="T22" s="66"/>
      <c r="U22" s="65"/>
      <c r="V22" s="66"/>
      <c r="Z22" s="66"/>
      <c r="AA22" s="72"/>
      <c r="AB22" s="66"/>
      <c r="AC22" s="66"/>
      <c r="AD22" s="69"/>
      <c r="AE22" s="39"/>
      <c r="AF22" s="39"/>
      <c r="AG22" s="48"/>
      <c r="AH22" s="48"/>
    </row>
    <row r="23" spans="1:34" x14ac:dyDescent="0.25">
      <c r="A23" t="s">
        <v>85</v>
      </c>
      <c r="B23" t="s">
        <v>86</v>
      </c>
      <c r="C23" s="170">
        <v>169</v>
      </c>
      <c r="D23" s="170">
        <v>61</v>
      </c>
      <c r="E23" s="170">
        <v>37</v>
      </c>
      <c r="F23" s="170">
        <v>71</v>
      </c>
      <c r="G23" s="120" t="s">
        <v>1011</v>
      </c>
      <c r="H23" s="120">
        <v>70</v>
      </c>
      <c r="I23" s="113">
        <v>7.0000000298023224E-2</v>
      </c>
      <c r="J23" s="180">
        <v>38</v>
      </c>
      <c r="K23" s="172">
        <v>0.52999997138977051</v>
      </c>
      <c r="L23" s="146">
        <v>1.9413299858570099E-2</v>
      </c>
      <c r="M23" s="66" t="str">
        <f t="shared" si="0"/>
        <v>RTE</v>
      </c>
      <c r="N23" s="185">
        <v>19</v>
      </c>
      <c r="O23" s="187">
        <v>0.36</v>
      </c>
      <c r="P23" s="187">
        <v>0.69</v>
      </c>
      <c r="Q23" s="187">
        <f t="shared" si="1"/>
        <v>0.16999997138977052</v>
      </c>
      <c r="R23" s="188">
        <f t="shared" si="2"/>
        <v>0.16000002861022944</v>
      </c>
      <c r="S23" s="65"/>
      <c r="T23" s="66"/>
      <c r="U23" s="65"/>
      <c r="V23" s="66"/>
      <c r="X23" s="39"/>
      <c r="Z23" s="67"/>
      <c r="AA23" s="71"/>
      <c r="AB23" s="66"/>
      <c r="AC23" s="66"/>
      <c r="AD23" s="69"/>
      <c r="AE23" s="39"/>
      <c r="AF23" s="39"/>
      <c r="AG23" s="48"/>
      <c r="AH23" s="48"/>
    </row>
    <row r="24" spans="1:34" x14ac:dyDescent="0.25">
      <c r="A24" t="s">
        <v>181</v>
      </c>
      <c r="B24" t="s">
        <v>224</v>
      </c>
      <c r="C24" s="170">
        <v>25</v>
      </c>
      <c r="D24" s="170">
        <v>2</v>
      </c>
      <c r="E24" s="170">
        <v>14</v>
      </c>
      <c r="F24" s="170">
        <v>9</v>
      </c>
      <c r="G24" s="120" t="s">
        <v>1001</v>
      </c>
      <c r="H24" s="120">
        <v>9</v>
      </c>
      <c r="I24" s="113">
        <v>0</v>
      </c>
      <c r="J24" s="180">
        <v>9</v>
      </c>
      <c r="K24" s="172" t="s">
        <v>227</v>
      </c>
      <c r="L24" s="146">
        <v>0</v>
      </c>
      <c r="M24" s="66" t="str">
        <f t="shared" si="0"/>
        <v>RN3</v>
      </c>
      <c r="N24" s="185" t="e">
        <v>#N/A</v>
      </c>
      <c r="O24" s="187">
        <v>0.66</v>
      </c>
      <c r="P24" s="187">
        <v>1</v>
      </c>
      <c r="Q24" s="187" t="e">
        <f t="shared" si="1"/>
        <v>#VALUE!</v>
      </c>
      <c r="R24" s="188" t="e">
        <f t="shared" si="2"/>
        <v>#VALUE!</v>
      </c>
      <c r="S24" s="65"/>
      <c r="T24" s="66"/>
      <c r="U24" s="65"/>
      <c r="V24" s="66"/>
      <c r="Z24" s="66"/>
      <c r="AA24" s="72"/>
      <c r="AB24" s="66"/>
      <c r="AC24" s="66"/>
      <c r="AD24" s="69"/>
      <c r="AE24" s="39"/>
      <c r="AF24" s="39"/>
      <c r="AG24" s="48"/>
      <c r="AH24" s="48"/>
    </row>
    <row r="25" spans="1:34" x14ac:dyDescent="0.25">
      <c r="A25" t="s">
        <v>45</v>
      </c>
      <c r="B25" t="s">
        <v>46</v>
      </c>
      <c r="C25" s="170">
        <v>830</v>
      </c>
      <c r="D25" s="170">
        <v>100</v>
      </c>
      <c r="E25" s="170">
        <v>345</v>
      </c>
      <c r="F25" s="170">
        <v>385</v>
      </c>
      <c r="G25" s="120" t="s">
        <v>1012</v>
      </c>
      <c r="H25" s="120">
        <v>375</v>
      </c>
      <c r="I25" s="113">
        <v>7.0000000298023224E-2</v>
      </c>
      <c r="J25" s="180">
        <v>229</v>
      </c>
      <c r="K25" s="172">
        <v>0.11999999731779099</v>
      </c>
      <c r="L25" s="146">
        <v>2.459426037967205E-2</v>
      </c>
      <c r="M25" s="66" t="str">
        <f t="shared" si="0"/>
        <v>RJ1</v>
      </c>
      <c r="N25" s="185">
        <v>3</v>
      </c>
      <c r="O25" s="187">
        <v>0.08</v>
      </c>
      <c r="P25" s="187">
        <v>0.17</v>
      </c>
      <c r="Q25" s="187">
        <f t="shared" si="1"/>
        <v>3.9999997317790983E-2</v>
      </c>
      <c r="R25" s="188">
        <f t="shared" si="2"/>
        <v>5.0000002682209027E-2</v>
      </c>
      <c r="S25" s="65"/>
      <c r="T25" s="66"/>
      <c r="U25" s="65"/>
      <c r="V25" s="66"/>
      <c r="X25" s="39"/>
      <c r="Y25" s="39"/>
      <c r="Z25" s="67"/>
      <c r="AA25" s="71"/>
      <c r="AB25" s="66"/>
      <c r="AC25" s="66"/>
      <c r="AD25" s="69"/>
      <c r="AE25" s="39"/>
      <c r="AF25" s="39"/>
      <c r="AG25" s="48"/>
      <c r="AH25" s="48"/>
    </row>
    <row r="26" spans="1:34" x14ac:dyDescent="0.25">
      <c r="A26" t="s">
        <v>182</v>
      </c>
      <c r="B26" t="s">
        <v>225</v>
      </c>
      <c r="C26" s="170">
        <v>82</v>
      </c>
      <c r="D26" s="170">
        <v>21</v>
      </c>
      <c r="E26" s="170">
        <v>25</v>
      </c>
      <c r="F26" s="170">
        <v>36</v>
      </c>
      <c r="G26" s="120" t="s">
        <v>1013</v>
      </c>
      <c r="H26" s="120">
        <v>34</v>
      </c>
      <c r="I26" s="113">
        <v>5.9999998658895493E-2</v>
      </c>
      <c r="J26" s="180">
        <v>34</v>
      </c>
      <c r="K26" s="172">
        <v>0.40999999642372131</v>
      </c>
      <c r="L26" s="146">
        <v>7.4222035706043243E-2</v>
      </c>
      <c r="M26" s="66" t="str">
        <f t="shared" si="0"/>
        <v>RN5</v>
      </c>
      <c r="N26" s="185">
        <v>10</v>
      </c>
      <c r="O26" s="187">
        <v>0.25</v>
      </c>
      <c r="P26" s="187">
        <v>0.59</v>
      </c>
      <c r="Q26" s="187">
        <f t="shared" si="1"/>
        <v>0.15999999642372131</v>
      </c>
      <c r="R26" s="188">
        <f t="shared" si="2"/>
        <v>0.18000000357627866</v>
      </c>
      <c r="S26" s="65"/>
      <c r="T26" s="66"/>
      <c r="U26" s="65"/>
      <c r="V26" s="66"/>
      <c r="Z26" s="66"/>
      <c r="AA26" s="72"/>
      <c r="AB26" s="66"/>
      <c r="AC26" s="66"/>
      <c r="AD26" s="69"/>
      <c r="AE26" s="39"/>
      <c r="AF26" s="39"/>
      <c r="AG26" s="48"/>
      <c r="AH26" s="48"/>
    </row>
    <row r="27" spans="1:34" x14ac:dyDescent="0.25">
      <c r="A27" t="s">
        <v>96</v>
      </c>
      <c r="B27" t="s">
        <v>294</v>
      </c>
      <c r="C27" s="170">
        <v>1087</v>
      </c>
      <c r="D27" s="170">
        <v>304</v>
      </c>
      <c r="E27" s="170">
        <v>386</v>
      </c>
      <c r="F27" s="170">
        <v>397</v>
      </c>
      <c r="G27" s="120" t="s">
        <v>1014</v>
      </c>
      <c r="H27" s="120">
        <v>390</v>
      </c>
      <c r="I27" s="113">
        <v>0.12999999523162842</v>
      </c>
      <c r="J27" s="180">
        <v>266</v>
      </c>
      <c r="K27" s="172">
        <v>0.69999998807907104</v>
      </c>
      <c r="L27" s="146">
        <v>1.8775708973407745E-2</v>
      </c>
      <c r="M27" s="66" t="str">
        <f t="shared" si="0"/>
        <v>RWA</v>
      </c>
      <c r="N27" s="185">
        <v>32</v>
      </c>
      <c r="O27" s="187">
        <v>0.64</v>
      </c>
      <c r="P27" s="187">
        <v>0.76</v>
      </c>
      <c r="Q27" s="187">
        <f t="shared" si="1"/>
        <v>5.9999988079071032E-2</v>
      </c>
      <c r="R27" s="188">
        <f t="shared" si="2"/>
        <v>6.0000011920928964E-2</v>
      </c>
      <c r="S27" s="65"/>
      <c r="T27" s="66"/>
      <c r="U27" s="65"/>
      <c r="V27" s="66"/>
      <c r="X27" s="39"/>
      <c r="Z27" s="67"/>
      <c r="AA27" s="71"/>
      <c r="AB27" s="66"/>
      <c r="AC27" s="66"/>
      <c r="AD27" s="69"/>
      <c r="AE27" s="39"/>
      <c r="AF27" s="39"/>
      <c r="AG27" s="48"/>
      <c r="AH27" s="48"/>
    </row>
    <row r="28" spans="1:34" x14ac:dyDescent="0.25">
      <c r="A28" t="s">
        <v>119</v>
      </c>
      <c r="B28" t="s">
        <v>120</v>
      </c>
      <c r="C28" s="170">
        <v>573</v>
      </c>
      <c r="D28" s="170">
        <v>138</v>
      </c>
      <c r="E28" s="170">
        <v>183</v>
      </c>
      <c r="F28" s="170">
        <v>252</v>
      </c>
      <c r="G28" s="120" t="s">
        <v>1015</v>
      </c>
      <c r="H28" s="120">
        <v>247</v>
      </c>
      <c r="I28" s="113">
        <v>0.10999999940395355</v>
      </c>
      <c r="J28" s="180">
        <v>152</v>
      </c>
      <c r="K28" s="172">
        <v>0.63999998569488525</v>
      </c>
      <c r="L28" s="146">
        <v>1.8371386453509331E-2</v>
      </c>
      <c r="M28" s="66" t="str">
        <f t="shared" si="0"/>
        <v>RYJ</v>
      </c>
      <c r="N28" s="185">
        <v>28</v>
      </c>
      <c r="O28" s="187">
        <v>0.56000000000000005</v>
      </c>
      <c r="P28" s="187">
        <v>0.71</v>
      </c>
      <c r="Q28" s="187">
        <f t="shared" si="1"/>
        <v>7.9999985694885201E-2</v>
      </c>
      <c r="R28" s="188">
        <f t="shared" si="2"/>
        <v>7.0000014305114711E-2</v>
      </c>
      <c r="S28" s="65"/>
      <c r="T28" s="66"/>
      <c r="U28" s="65"/>
      <c r="V28" s="66"/>
      <c r="Z28" s="66"/>
      <c r="AA28" s="72"/>
      <c r="AB28" s="66"/>
      <c r="AC28" s="66"/>
      <c r="AD28" s="69"/>
      <c r="AE28" s="39"/>
      <c r="AF28" s="39"/>
      <c r="AG28" s="48"/>
      <c r="AH28" s="48"/>
    </row>
    <row r="29" spans="1:34" x14ac:dyDescent="0.25">
      <c r="A29" t="s">
        <v>53</v>
      </c>
      <c r="B29" t="s">
        <v>54</v>
      </c>
      <c r="C29" s="170">
        <v>194</v>
      </c>
      <c r="D29" s="170">
        <v>42</v>
      </c>
      <c r="E29" s="170">
        <v>50</v>
      </c>
      <c r="F29" s="170">
        <v>102</v>
      </c>
      <c r="G29" s="120" t="s">
        <v>1016</v>
      </c>
      <c r="H29" s="120">
        <v>100</v>
      </c>
      <c r="I29" s="113">
        <v>0.14000000059604645</v>
      </c>
      <c r="J29" s="180">
        <v>84</v>
      </c>
      <c r="K29" s="172">
        <v>0.37999999523162842</v>
      </c>
      <c r="L29" s="146">
        <v>3.0908370390534401E-2</v>
      </c>
      <c r="M29" s="66" t="str">
        <f t="shared" si="0"/>
        <v>RJZ</v>
      </c>
      <c r="N29" s="185">
        <v>8</v>
      </c>
      <c r="O29" s="187">
        <v>0.28000000000000003</v>
      </c>
      <c r="P29" s="187">
        <v>0.49</v>
      </c>
      <c r="Q29" s="187">
        <f t="shared" si="1"/>
        <v>9.9999995231628391E-2</v>
      </c>
      <c r="R29" s="188">
        <f t="shared" si="2"/>
        <v>0.11000000476837157</v>
      </c>
      <c r="S29" s="65"/>
      <c r="T29" s="66"/>
      <c r="U29" s="65"/>
      <c r="V29" s="66"/>
      <c r="Z29" s="66"/>
      <c r="AA29" s="72"/>
      <c r="AB29" s="66"/>
      <c r="AC29" s="66"/>
      <c r="AD29" s="69"/>
      <c r="AE29" s="39"/>
      <c r="AF29" s="39"/>
      <c r="AG29" s="48"/>
      <c r="AH29" s="48"/>
    </row>
    <row r="30" spans="1:34" x14ac:dyDescent="0.25">
      <c r="A30" t="s">
        <v>113</v>
      </c>
      <c r="B30" t="s">
        <v>114</v>
      </c>
      <c r="C30" s="170">
        <v>720</v>
      </c>
      <c r="D30" s="170">
        <v>280</v>
      </c>
      <c r="E30" s="170">
        <v>221</v>
      </c>
      <c r="F30" s="170">
        <v>219</v>
      </c>
      <c r="G30" s="120" t="s">
        <v>1015</v>
      </c>
      <c r="H30" s="120">
        <v>215</v>
      </c>
      <c r="I30" s="113">
        <v>3.9999999105930328E-2</v>
      </c>
      <c r="J30" s="180">
        <v>148</v>
      </c>
      <c r="K30" s="172">
        <v>0.72000002861022949</v>
      </c>
      <c r="L30" s="146">
        <v>2.3653971031308174E-2</v>
      </c>
      <c r="M30" s="66" t="str">
        <f t="shared" si="0"/>
        <v>RXN</v>
      </c>
      <c r="N30" s="185">
        <v>35</v>
      </c>
      <c r="O30" s="187">
        <v>0.64</v>
      </c>
      <c r="P30" s="187">
        <v>0.79</v>
      </c>
      <c r="Q30" s="187">
        <f t="shared" si="1"/>
        <v>8.0000028610229479E-2</v>
      </c>
      <c r="R30" s="188">
        <f t="shared" si="2"/>
        <v>6.9999971389770543E-2</v>
      </c>
      <c r="S30" s="65"/>
      <c r="T30" s="66"/>
      <c r="U30" s="65"/>
      <c r="V30" s="66"/>
      <c r="X30" s="39"/>
      <c r="Z30" s="66"/>
      <c r="AA30" s="72"/>
      <c r="AB30" s="66"/>
      <c r="AC30" s="66"/>
      <c r="AD30" s="69"/>
      <c r="AE30" s="39"/>
      <c r="AF30" s="39"/>
      <c r="AG30" s="48"/>
      <c r="AH30" s="48"/>
    </row>
    <row r="31" spans="1:34" x14ac:dyDescent="0.25">
      <c r="A31" t="s">
        <v>75</v>
      </c>
      <c r="B31" t="s">
        <v>76</v>
      </c>
      <c r="C31" s="170">
        <v>150</v>
      </c>
      <c r="D31" s="170">
        <v>95</v>
      </c>
      <c r="E31" s="170">
        <v>19</v>
      </c>
      <c r="F31" s="170">
        <v>36</v>
      </c>
      <c r="G31" s="120" t="s">
        <v>1017</v>
      </c>
      <c r="H31" s="120">
        <v>35</v>
      </c>
      <c r="I31" s="113">
        <v>0.28999999165534973</v>
      </c>
      <c r="J31" s="179">
        <v>22</v>
      </c>
      <c r="K31" s="172">
        <v>0.63999998569488525</v>
      </c>
      <c r="L31" s="146">
        <v>1.7063234001398087E-2</v>
      </c>
      <c r="M31" s="66" t="str">
        <f t="shared" si="0"/>
        <v>RR8</v>
      </c>
      <c r="N31" s="185">
        <v>27</v>
      </c>
      <c r="O31" s="187">
        <v>0.41</v>
      </c>
      <c r="P31" s="187">
        <v>0.83</v>
      </c>
      <c r="Q31" s="187">
        <f t="shared" si="1"/>
        <v>0.22999998569488528</v>
      </c>
      <c r="R31" s="188">
        <f t="shared" si="2"/>
        <v>0.19000001430511471</v>
      </c>
      <c r="S31" s="65"/>
      <c r="T31" s="66"/>
      <c r="U31" s="65"/>
      <c r="V31" s="66"/>
      <c r="Z31" s="66"/>
      <c r="AA31" s="72"/>
      <c r="AB31" s="66"/>
      <c r="AC31" s="66"/>
      <c r="AD31" s="69"/>
      <c r="AE31" s="39"/>
      <c r="AF31" s="39"/>
      <c r="AG31" s="48"/>
      <c r="AH31" s="48"/>
    </row>
    <row r="32" spans="1:34" x14ac:dyDescent="0.25">
      <c r="A32" t="s">
        <v>29</v>
      </c>
      <c r="B32" t="s">
        <v>295</v>
      </c>
      <c r="C32" s="170">
        <v>514</v>
      </c>
      <c r="D32" s="170">
        <v>151</v>
      </c>
      <c r="E32" s="170">
        <v>174</v>
      </c>
      <c r="F32" s="170">
        <v>189</v>
      </c>
      <c r="G32" s="120" t="s">
        <v>1018</v>
      </c>
      <c r="H32" s="120">
        <v>184</v>
      </c>
      <c r="I32" s="113">
        <v>0.12999999523162842</v>
      </c>
      <c r="J32" s="180">
        <v>112</v>
      </c>
      <c r="K32" s="172">
        <v>0.62999999523162842</v>
      </c>
      <c r="L32" s="146">
        <v>1.6244633123278618E-2</v>
      </c>
      <c r="M32" s="66" t="str">
        <f t="shared" si="0"/>
        <v>REM</v>
      </c>
      <c r="N32" s="185">
        <v>24</v>
      </c>
      <c r="O32" s="187">
        <v>0.53</v>
      </c>
      <c r="P32" s="187">
        <v>0.71</v>
      </c>
      <c r="Q32" s="187">
        <f t="shared" si="1"/>
        <v>9.9999995231628391E-2</v>
      </c>
      <c r="R32" s="188">
        <f t="shared" si="2"/>
        <v>8.0000004768371547E-2</v>
      </c>
      <c r="S32" s="65"/>
      <c r="T32" s="66"/>
      <c r="U32" s="65"/>
      <c r="V32" s="66"/>
      <c r="X32" s="39"/>
      <c r="Y32" s="39"/>
      <c r="Z32" s="66"/>
      <c r="AA32" s="72"/>
      <c r="AB32" s="66"/>
      <c r="AC32" s="66"/>
      <c r="AD32" s="69"/>
      <c r="AE32" s="39"/>
      <c r="AF32" s="39"/>
      <c r="AG32" s="48"/>
      <c r="AH32" s="48"/>
    </row>
    <row r="33" spans="1:34" x14ac:dyDescent="0.25">
      <c r="A33" t="s">
        <v>12</v>
      </c>
      <c r="B33" t="s">
        <v>296</v>
      </c>
      <c r="C33" s="170">
        <v>532</v>
      </c>
      <c r="D33" s="170">
        <v>125</v>
      </c>
      <c r="E33" s="170">
        <v>171</v>
      </c>
      <c r="F33" s="170">
        <v>236</v>
      </c>
      <c r="G33" s="120" t="s">
        <v>1019</v>
      </c>
      <c r="H33" s="120">
        <v>232</v>
      </c>
      <c r="I33" s="113">
        <v>0.12999999523162842</v>
      </c>
      <c r="J33" s="180">
        <v>150</v>
      </c>
      <c r="K33" s="172">
        <v>0.5</v>
      </c>
      <c r="L33" s="146">
        <v>3.5324253141880035E-2</v>
      </c>
      <c r="M33" s="66" t="str">
        <f t="shared" si="0"/>
        <v>R1K</v>
      </c>
      <c r="N33" s="185">
        <v>14</v>
      </c>
      <c r="O33" s="187">
        <v>0.42</v>
      </c>
      <c r="P33" s="187">
        <v>0.57999999999999996</v>
      </c>
      <c r="Q33" s="187">
        <f t="shared" si="1"/>
        <v>8.0000000000000016E-2</v>
      </c>
      <c r="R33" s="188">
        <f t="shared" si="2"/>
        <v>7.999999999999996E-2</v>
      </c>
      <c r="S33" s="65"/>
      <c r="T33" s="66"/>
      <c r="U33" s="65"/>
      <c r="V33" s="66"/>
      <c r="Z33" s="66"/>
      <c r="AA33" s="72"/>
      <c r="AB33" s="66"/>
      <c r="AC33" s="66"/>
      <c r="AD33" s="69"/>
      <c r="AE33" s="39"/>
      <c r="AF33" s="39"/>
      <c r="AG33" s="48"/>
      <c r="AH33" s="48"/>
    </row>
    <row r="34" spans="1:34" x14ac:dyDescent="0.25">
      <c r="A34" t="s">
        <v>8</v>
      </c>
      <c r="B34" t="s">
        <v>9</v>
      </c>
      <c r="C34" s="170">
        <v>543</v>
      </c>
      <c r="D34" s="170">
        <v>226</v>
      </c>
      <c r="E34" s="170">
        <v>174</v>
      </c>
      <c r="F34" s="170">
        <v>143</v>
      </c>
      <c r="G34" s="120" t="s">
        <v>997</v>
      </c>
      <c r="H34" s="120">
        <v>139</v>
      </c>
      <c r="I34" s="113">
        <v>0.10000000149011612</v>
      </c>
      <c r="J34" s="180">
        <v>86</v>
      </c>
      <c r="K34" s="172">
        <v>0.72000002861022949</v>
      </c>
      <c r="L34" s="146">
        <v>2.2012129426002502E-2</v>
      </c>
      <c r="M34" s="66" t="str">
        <f t="shared" si="0"/>
        <v>R0A</v>
      </c>
      <c r="N34" s="185">
        <v>34</v>
      </c>
      <c r="O34" s="187">
        <v>0.61</v>
      </c>
      <c r="P34" s="187">
        <v>0.81</v>
      </c>
      <c r="Q34" s="187">
        <f t="shared" si="1"/>
        <v>0.11000002861022951</v>
      </c>
      <c r="R34" s="188">
        <f t="shared" si="2"/>
        <v>8.9999971389770561E-2</v>
      </c>
      <c r="S34" s="65"/>
      <c r="T34" s="66"/>
      <c r="U34" s="65"/>
      <c r="V34" s="66"/>
      <c r="Z34" s="66"/>
      <c r="AA34" s="72"/>
      <c r="AB34" s="66"/>
      <c r="AC34" s="66"/>
      <c r="AD34" s="69"/>
      <c r="AE34" s="39"/>
      <c r="AF34" s="39"/>
      <c r="AG34" s="48"/>
      <c r="AH34" s="48"/>
    </row>
    <row r="35" spans="1:34" x14ac:dyDescent="0.25">
      <c r="A35" t="s">
        <v>69</v>
      </c>
      <c r="B35" t="s">
        <v>70</v>
      </c>
      <c r="C35" s="170">
        <v>8</v>
      </c>
      <c r="D35" s="170">
        <v>1</v>
      </c>
      <c r="E35" s="170">
        <v>1</v>
      </c>
      <c r="F35" s="170">
        <v>6</v>
      </c>
      <c r="G35" s="120" t="s">
        <v>1020</v>
      </c>
      <c r="H35" s="120">
        <v>6</v>
      </c>
      <c r="I35" s="113">
        <v>0</v>
      </c>
      <c r="J35" s="179">
        <v>5</v>
      </c>
      <c r="K35" s="172" t="s">
        <v>227</v>
      </c>
      <c r="L35" s="146">
        <v>0</v>
      </c>
      <c r="M35" s="66" t="str">
        <f t="shared" si="0"/>
        <v>RPA</v>
      </c>
      <c r="N35" s="185" t="e">
        <v>#N/A</v>
      </c>
      <c r="O35" s="187">
        <v>0.15</v>
      </c>
      <c r="P35" s="187">
        <v>0.95</v>
      </c>
      <c r="Q35" s="187" t="e">
        <f t="shared" si="1"/>
        <v>#VALUE!</v>
      </c>
      <c r="R35" s="188" t="e">
        <f t="shared" si="2"/>
        <v>#VALUE!</v>
      </c>
      <c r="S35" s="65"/>
      <c r="T35" s="66"/>
      <c r="U35" s="65"/>
      <c r="V35" s="66"/>
      <c r="Z35" s="66"/>
      <c r="AA35" s="72"/>
      <c r="AB35" s="66"/>
      <c r="AC35" s="66"/>
      <c r="AD35" s="69"/>
      <c r="AE35" s="39"/>
      <c r="AF35" s="39"/>
      <c r="AG35" s="48"/>
      <c r="AH35" s="48"/>
    </row>
    <row r="36" spans="1:34" x14ac:dyDescent="0.25">
      <c r="A36" t="s">
        <v>17</v>
      </c>
      <c r="B36" t="s">
        <v>339</v>
      </c>
      <c r="C36" s="170">
        <v>135</v>
      </c>
      <c r="D36" s="170">
        <v>49</v>
      </c>
      <c r="E36" s="170">
        <v>35</v>
      </c>
      <c r="F36" s="170">
        <v>51</v>
      </c>
      <c r="G36" s="120" t="s">
        <v>1021</v>
      </c>
      <c r="H36" s="120">
        <v>50</v>
      </c>
      <c r="I36" s="113">
        <v>3.9999999105930328E-2</v>
      </c>
      <c r="J36" s="180">
        <v>46</v>
      </c>
      <c r="K36" s="172">
        <v>0.54000002145767212</v>
      </c>
      <c r="L36" s="146">
        <v>1.6161352396011353E-2</v>
      </c>
      <c r="M36" s="66" t="str">
        <f t="shared" si="0"/>
        <v>RAJ</v>
      </c>
      <c r="N36" s="185">
        <v>20</v>
      </c>
      <c r="O36" s="187">
        <v>0.39</v>
      </c>
      <c r="P36" s="187">
        <v>0.69</v>
      </c>
      <c r="Q36" s="187">
        <f t="shared" si="1"/>
        <v>0.15000002145767211</v>
      </c>
      <c r="R36" s="188">
        <f t="shared" si="2"/>
        <v>0.14999997854232783</v>
      </c>
      <c r="S36" s="65"/>
      <c r="T36" s="66"/>
      <c r="U36" s="65"/>
      <c r="V36" s="66"/>
      <c r="X36" s="39"/>
      <c r="Y36" s="39"/>
      <c r="Z36" s="67"/>
      <c r="AA36" s="71"/>
      <c r="AB36" s="66"/>
      <c r="AC36" s="66"/>
      <c r="AD36" s="69"/>
      <c r="AE36" s="39"/>
      <c r="AF36" s="39"/>
      <c r="AG36" s="48"/>
      <c r="AH36" s="48"/>
    </row>
    <row r="37" spans="1:34" x14ac:dyDescent="0.25">
      <c r="A37" t="s">
        <v>111</v>
      </c>
      <c r="B37" t="s">
        <v>112</v>
      </c>
      <c r="C37" s="170">
        <v>109</v>
      </c>
      <c r="D37" s="170">
        <v>29</v>
      </c>
      <c r="E37" s="170">
        <v>23</v>
      </c>
      <c r="F37" s="170">
        <v>57</v>
      </c>
      <c r="G37" s="120" t="s">
        <v>996</v>
      </c>
      <c r="H37" s="120">
        <v>57</v>
      </c>
      <c r="I37" s="113">
        <v>7.0000000298023224E-2</v>
      </c>
      <c r="J37" s="180">
        <v>47</v>
      </c>
      <c r="K37" s="172">
        <v>0.87000000476837158</v>
      </c>
      <c r="L37" s="146">
        <v>0</v>
      </c>
      <c r="M37" s="66" t="str">
        <f t="shared" si="0"/>
        <v>RXF</v>
      </c>
      <c r="N37" s="185">
        <v>52</v>
      </c>
      <c r="O37" s="187">
        <v>0.74</v>
      </c>
      <c r="P37" s="187">
        <v>0.95</v>
      </c>
      <c r="Q37" s="187">
        <f t="shared" si="1"/>
        <v>0.13000000476837159</v>
      </c>
      <c r="R37" s="188">
        <f t="shared" si="2"/>
        <v>7.9999995231628374E-2</v>
      </c>
      <c r="S37" s="65"/>
      <c r="T37" s="66"/>
      <c r="U37" s="65"/>
      <c r="V37" s="66"/>
      <c r="X37" s="39"/>
      <c r="Z37" s="66"/>
      <c r="AA37" s="72"/>
      <c r="AB37" s="66"/>
      <c r="AC37" s="66"/>
      <c r="AD37" s="69"/>
      <c r="AE37" s="39"/>
      <c r="AF37" s="39"/>
      <c r="AG37" s="48"/>
      <c r="AH37" s="48"/>
    </row>
    <row r="38" spans="1:34" x14ac:dyDescent="0.25">
      <c r="A38" t="s">
        <v>180</v>
      </c>
      <c r="B38" t="s">
        <v>297</v>
      </c>
      <c r="C38" s="170">
        <v>7</v>
      </c>
      <c r="D38" s="170">
        <v>7</v>
      </c>
      <c r="E38" s="170">
        <v>0</v>
      </c>
      <c r="F38" s="170">
        <v>0</v>
      </c>
      <c r="G38" s="95" t="s">
        <v>220</v>
      </c>
      <c r="H38" s="95" t="s">
        <v>220</v>
      </c>
      <c r="I38" s="95" t="s">
        <v>220</v>
      </c>
      <c r="J38" s="179">
        <v>0</v>
      </c>
      <c r="K38" s="95" t="s">
        <v>220</v>
      </c>
      <c r="L38" s="146">
        <v>0</v>
      </c>
      <c r="M38" s="66" t="str">
        <f t="shared" si="0"/>
        <v>RD8</v>
      </c>
      <c r="N38" s="185" t="e">
        <v>#N/A</v>
      </c>
      <c r="O38" s="187" t="e">
        <v>#VALUE!</v>
      </c>
      <c r="P38" s="187" t="e">
        <v>#VALUE!</v>
      </c>
      <c r="Q38" s="187" t="e">
        <f t="shared" si="1"/>
        <v>#VALUE!</v>
      </c>
      <c r="R38" s="188" t="e">
        <f t="shared" si="2"/>
        <v>#VALUE!</v>
      </c>
      <c r="S38" s="65"/>
      <c r="T38" s="66"/>
      <c r="U38" s="65"/>
      <c r="V38" s="66"/>
      <c r="X38" s="39"/>
      <c r="Z38" s="67"/>
      <c r="AA38" s="71"/>
      <c r="AB38" s="66"/>
      <c r="AC38" s="66"/>
      <c r="AD38" s="69"/>
      <c r="AE38" s="39"/>
      <c r="AF38" s="39"/>
      <c r="AG38" s="48"/>
      <c r="AH38" s="48"/>
    </row>
    <row r="39" spans="1:34" x14ac:dyDescent="0.25">
      <c r="A39" t="s">
        <v>83</v>
      </c>
      <c r="B39" t="s">
        <v>84</v>
      </c>
      <c r="C39" s="170">
        <v>742</v>
      </c>
      <c r="D39" s="170">
        <v>214</v>
      </c>
      <c r="E39" s="170">
        <v>221</v>
      </c>
      <c r="F39" s="170">
        <v>307</v>
      </c>
      <c r="G39" s="120" t="s">
        <v>1022</v>
      </c>
      <c r="H39" s="120">
        <v>301</v>
      </c>
      <c r="I39" s="113">
        <v>0.14000000059604645</v>
      </c>
      <c r="J39" s="180">
        <v>196</v>
      </c>
      <c r="K39" s="172">
        <v>0.81999999284744263</v>
      </c>
      <c r="L39" s="146">
        <v>2.1103132516145706E-2</v>
      </c>
      <c r="M39" s="66" t="str">
        <f t="shared" si="0"/>
        <v>RTD</v>
      </c>
      <c r="N39" s="185">
        <v>44</v>
      </c>
      <c r="O39" s="187">
        <v>0.76</v>
      </c>
      <c r="P39" s="187">
        <v>0.87</v>
      </c>
      <c r="Q39" s="187">
        <f t="shared" si="1"/>
        <v>5.9999992847442618E-2</v>
      </c>
      <c r="R39" s="188">
        <f t="shared" si="2"/>
        <v>5.0000007152557369E-2</v>
      </c>
      <c r="S39" s="65"/>
      <c r="T39" s="66"/>
      <c r="U39" s="65"/>
      <c r="V39" s="66"/>
      <c r="X39" s="39"/>
      <c r="Y39" s="39"/>
      <c r="Z39" s="67"/>
      <c r="AA39" s="71"/>
      <c r="AB39" s="66"/>
      <c r="AC39" s="66"/>
      <c r="AD39" s="69"/>
      <c r="AE39" s="39"/>
      <c r="AF39" s="39"/>
      <c r="AG39" s="48"/>
      <c r="AH39" s="48"/>
    </row>
    <row r="40" spans="1:34" x14ac:dyDescent="0.25">
      <c r="A40" t="s">
        <v>121</v>
      </c>
      <c r="B40" t="s">
        <v>122</v>
      </c>
      <c r="C40" s="170">
        <v>0</v>
      </c>
      <c r="D40" s="170">
        <v>0</v>
      </c>
      <c r="E40" s="170">
        <v>0</v>
      </c>
      <c r="F40" s="170">
        <v>0</v>
      </c>
      <c r="G40" s="95" t="s">
        <v>220</v>
      </c>
      <c r="H40" s="95" t="s">
        <v>220</v>
      </c>
      <c r="I40" s="95" t="s">
        <v>220</v>
      </c>
      <c r="J40" s="179">
        <v>0</v>
      </c>
      <c r="K40" s="95" t="s">
        <v>220</v>
      </c>
      <c r="L40" s="95" t="s">
        <v>220</v>
      </c>
      <c r="M40" s="66" t="str">
        <f t="shared" si="0"/>
        <v>SA999</v>
      </c>
      <c r="N40" s="185" t="e">
        <v>#N/A</v>
      </c>
      <c r="O40" s="187" t="e">
        <v>#VALUE!</v>
      </c>
      <c r="P40" s="187" t="e">
        <v>#VALUE!</v>
      </c>
      <c r="Q40" s="187" t="e">
        <f t="shared" si="1"/>
        <v>#VALUE!</v>
      </c>
      <c r="R40" s="188" t="e">
        <f t="shared" si="2"/>
        <v>#VALUE!</v>
      </c>
      <c r="S40" s="65"/>
      <c r="T40" s="66"/>
      <c r="U40" s="65"/>
      <c r="V40" s="66"/>
      <c r="Z40" s="66"/>
      <c r="AA40" s="72"/>
      <c r="AB40" s="66"/>
      <c r="AC40" s="66"/>
      <c r="AD40" s="69"/>
      <c r="AE40" s="39"/>
      <c r="AF40" s="39"/>
      <c r="AG40" s="48"/>
      <c r="AH40" s="48"/>
    </row>
    <row r="41" spans="1:34" x14ac:dyDescent="0.25">
      <c r="A41" t="s">
        <v>379</v>
      </c>
      <c r="B41" t="s">
        <v>380</v>
      </c>
      <c r="C41" s="170">
        <v>32</v>
      </c>
      <c r="D41" s="170">
        <v>5</v>
      </c>
      <c r="E41" s="170">
        <v>15</v>
      </c>
      <c r="F41" s="170">
        <v>12</v>
      </c>
      <c r="G41" s="120" t="s">
        <v>1023</v>
      </c>
      <c r="H41" s="120">
        <v>12</v>
      </c>
      <c r="I41" s="113">
        <v>0</v>
      </c>
      <c r="J41" s="179">
        <v>7</v>
      </c>
      <c r="K41" s="172" t="s">
        <v>227</v>
      </c>
      <c r="L41" s="146">
        <v>0</v>
      </c>
      <c r="M41" s="66" t="str">
        <f t="shared" si="0"/>
        <v>SY999</v>
      </c>
      <c r="N41" s="185" t="e">
        <v>#N/A</v>
      </c>
      <c r="O41" s="187">
        <v>0.04</v>
      </c>
      <c r="P41" s="187">
        <v>0.71</v>
      </c>
      <c r="Q41" s="187" t="e">
        <f t="shared" si="1"/>
        <v>#VALUE!</v>
      </c>
      <c r="R41" s="188" t="e">
        <f t="shared" si="2"/>
        <v>#VALUE!</v>
      </c>
      <c r="S41" s="65"/>
      <c r="T41" s="66"/>
      <c r="U41" s="65"/>
      <c r="V41" s="66"/>
      <c r="X41" s="39"/>
      <c r="Y41" s="39"/>
      <c r="Z41" s="66"/>
      <c r="AA41" s="72"/>
      <c r="AB41" s="66"/>
      <c r="AC41" s="66"/>
      <c r="AD41" s="69"/>
      <c r="AE41" s="39"/>
      <c r="AF41" s="39"/>
      <c r="AG41" s="48"/>
      <c r="AH41" s="48"/>
    </row>
    <row r="42" spans="1:34" x14ac:dyDescent="0.25">
      <c r="A42" t="s">
        <v>135</v>
      </c>
      <c r="B42" t="s">
        <v>136</v>
      </c>
      <c r="C42" s="170">
        <v>61</v>
      </c>
      <c r="D42" s="170">
        <v>34</v>
      </c>
      <c r="E42" s="170">
        <v>12</v>
      </c>
      <c r="F42" s="170">
        <v>15</v>
      </c>
      <c r="G42" s="120" t="s">
        <v>1001</v>
      </c>
      <c r="H42" s="120">
        <v>15</v>
      </c>
      <c r="I42" s="113">
        <v>0</v>
      </c>
      <c r="J42" s="179">
        <v>15</v>
      </c>
      <c r="K42" s="172">
        <v>0.87000000476837158</v>
      </c>
      <c r="L42" s="146">
        <v>0</v>
      </c>
      <c r="M42" s="66" t="str">
        <f t="shared" si="0"/>
        <v>SV999</v>
      </c>
      <c r="N42" s="185">
        <v>53</v>
      </c>
      <c r="O42" s="187">
        <v>0.6</v>
      </c>
      <c r="P42" s="187">
        <v>0.98</v>
      </c>
      <c r="Q42" s="187">
        <f t="shared" si="1"/>
        <v>0.2700000047683716</v>
      </c>
      <c r="R42" s="188">
        <f t="shared" si="2"/>
        <v>0.1099999952316284</v>
      </c>
      <c r="S42" s="65"/>
      <c r="T42" s="66"/>
      <c r="U42" s="65"/>
      <c r="V42" s="66"/>
      <c r="X42" s="39"/>
      <c r="Y42" s="39"/>
      <c r="Z42" s="66"/>
      <c r="AA42" s="72"/>
      <c r="AB42" s="66"/>
      <c r="AC42" s="66"/>
      <c r="AD42" s="69"/>
      <c r="AE42" s="39"/>
      <c r="AF42" s="39"/>
      <c r="AG42" s="48"/>
      <c r="AH42" s="48"/>
    </row>
    <row r="43" spans="1:34" x14ac:dyDescent="0.25">
      <c r="A43" t="s">
        <v>129</v>
      </c>
      <c r="B43" t="s">
        <v>130</v>
      </c>
      <c r="C43" s="170">
        <v>26</v>
      </c>
      <c r="D43" s="170">
        <v>17</v>
      </c>
      <c r="E43" s="170">
        <v>9</v>
      </c>
      <c r="F43" s="170">
        <v>0</v>
      </c>
      <c r="G43" s="95" t="s">
        <v>220</v>
      </c>
      <c r="H43" s="95" t="s">
        <v>220</v>
      </c>
      <c r="I43" s="95" t="s">
        <v>220</v>
      </c>
      <c r="J43" s="179">
        <v>0</v>
      </c>
      <c r="K43" s="95" t="s">
        <v>220</v>
      </c>
      <c r="L43" s="146">
        <v>0</v>
      </c>
      <c r="M43" s="66" t="str">
        <f t="shared" si="0"/>
        <v>SN999</v>
      </c>
      <c r="N43" s="185" t="e">
        <v>#N/A</v>
      </c>
      <c r="O43" s="187" t="e">
        <v>#VALUE!</v>
      </c>
      <c r="P43" s="187" t="e">
        <v>#VALUE!</v>
      </c>
      <c r="Q43" s="187" t="e">
        <f t="shared" si="1"/>
        <v>#VALUE!</v>
      </c>
      <c r="R43" s="188" t="e">
        <f t="shared" si="2"/>
        <v>#VALUE!</v>
      </c>
      <c r="S43" s="65"/>
      <c r="T43" s="66"/>
      <c r="U43" s="65"/>
      <c r="V43" s="66"/>
      <c r="X43" s="39"/>
      <c r="Z43" s="67"/>
      <c r="AA43" s="71"/>
      <c r="AB43" s="66"/>
      <c r="AC43" s="66"/>
      <c r="AD43" s="69"/>
      <c r="AE43" s="39"/>
      <c r="AF43" s="39"/>
      <c r="AG43" s="48"/>
      <c r="AH43" s="48"/>
    </row>
    <row r="44" spans="1:34" x14ac:dyDescent="0.25">
      <c r="A44" t="s">
        <v>123</v>
      </c>
      <c r="B44" t="s">
        <v>124</v>
      </c>
      <c r="C44" s="170">
        <v>14</v>
      </c>
      <c r="D44" s="170">
        <v>2</v>
      </c>
      <c r="E44" s="170">
        <v>10</v>
      </c>
      <c r="F44" s="170">
        <v>2</v>
      </c>
      <c r="G44" s="120" t="s">
        <v>1001</v>
      </c>
      <c r="H44" s="120">
        <v>2</v>
      </c>
      <c r="I44" s="113" t="s">
        <v>227</v>
      </c>
      <c r="J44" s="179">
        <v>2</v>
      </c>
      <c r="K44" s="172" t="s">
        <v>227</v>
      </c>
      <c r="L44" s="146">
        <v>0</v>
      </c>
      <c r="M44" s="66" t="str">
        <f t="shared" si="0"/>
        <v>SG999</v>
      </c>
      <c r="N44" s="185" t="e">
        <v>#N/A</v>
      </c>
      <c r="O44" s="187">
        <v>0.16</v>
      </c>
      <c r="P44" s="187">
        <v>1</v>
      </c>
      <c r="Q44" s="187" t="e">
        <f t="shared" si="1"/>
        <v>#VALUE!</v>
      </c>
      <c r="R44" s="188" t="e">
        <f t="shared" si="2"/>
        <v>#VALUE!</v>
      </c>
      <c r="S44" s="65"/>
      <c r="T44" s="66"/>
      <c r="U44" s="65"/>
      <c r="V44" s="66"/>
      <c r="X44" s="39"/>
      <c r="Y44" s="39"/>
      <c r="Z44" s="66"/>
      <c r="AA44" s="72"/>
      <c r="AB44" s="66"/>
      <c r="AC44" s="66"/>
      <c r="AD44" s="69"/>
      <c r="AE44" s="39"/>
      <c r="AF44" s="39"/>
      <c r="AG44" s="48"/>
      <c r="AH44" s="48"/>
    </row>
    <row r="45" spans="1:34" x14ac:dyDescent="0.25">
      <c r="A45" t="s">
        <v>125</v>
      </c>
      <c r="B45" t="s">
        <v>126</v>
      </c>
      <c r="C45" s="170">
        <v>0</v>
      </c>
      <c r="D45" s="170">
        <v>0</v>
      </c>
      <c r="E45" s="170">
        <v>0</v>
      </c>
      <c r="F45" s="170">
        <v>0</v>
      </c>
      <c r="G45" s="95" t="s">
        <v>220</v>
      </c>
      <c r="H45" s="95" t="s">
        <v>220</v>
      </c>
      <c r="I45" s="95" t="s">
        <v>220</v>
      </c>
      <c r="J45" s="179">
        <v>0</v>
      </c>
      <c r="K45" s="95" t="s">
        <v>220</v>
      </c>
      <c r="L45" s="95" t="s">
        <v>220</v>
      </c>
      <c r="M45" s="66" t="str">
        <f t="shared" si="0"/>
        <v>SH999</v>
      </c>
      <c r="N45" s="185" t="e">
        <v>#N/A</v>
      </c>
      <c r="O45" s="187" t="e">
        <v>#VALUE!</v>
      </c>
      <c r="P45" s="187" t="e">
        <v>#VALUE!</v>
      </c>
      <c r="Q45" s="187" t="e">
        <f t="shared" si="1"/>
        <v>#VALUE!</v>
      </c>
      <c r="R45" s="188" t="e">
        <f t="shared" si="2"/>
        <v>#VALUE!</v>
      </c>
      <c r="S45" s="65"/>
      <c r="T45" s="66"/>
      <c r="U45" s="65"/>
      <c r="V45" s="66"/>
      <c r="X45" s="39"/>
      <c r="Y45" s="39"/>
      <c r="Z45" s="67"/>
      <c r="AA45" s="71"/>
      <c r="AB45" s="66"/>
      <c r="AC45" s="66"/>
      <c r="AD45" s="69"/>
      <c r="AE45" s="39"/>
      <c r="AF45" s="39"/>
      <c r="AG45" s="48"/>
      <c r="AH45" s="48"/>
    </row>
    <row r="46" spans="1:34" x14ac:dyDescent="0.25">
      <c r="A46" t="s">
        <v>127</v>
      </c>
      <c r="B46" t="s">
        <v>128</v>
      </c>
      <c r="C46" s="170">
        <v>0</v>
      </c>
      <c r="D46" s="170">
        <v>0</v>
      </c>
      <c r="E46" s="170">
        <v>0</v>
      </c>
      <c r="F46" s="170">
        <v>0</v>
      </c>
      <c r="G46" s="95" t="s">
        <v>220</v>
      </c>
      <c r="H46" s="95" t="s">
        <v>220</v>
      </c>
      <c r="I46" s="95" t="s">
        <v>220</v>
      </c>
      <c r="J46" s="179">
        <v>0</v>
      </c>
      <c r="K46" s="95" t="s">
        <v>220</v>
      </c>
      <c r="L46" s="95" t="s">
        <v>220</v>
      </c>
      <c r="M46" s="66" t="str">
        <f t="shared" si="0"/>
        <v>SL999</v>
      </c>
      <c r="N46" s="185" t="e">
        <v>#N/A</v>
      </c>
      <c r="O46" s="187" t="e">
        <v>#VALUE!</v>
      </c>
      <c r="P46" s="187" t="e">
        <v>#VALUE!</v>
      </c>
      <c r="Q46" s="187" t="e">
        <f t="shared" si="1"/>
        <v>#VALUE!</v>
      </c>
      <c r="R46" s="188" t="e">
        <f t="shared" si="2"/>
        <v>#VALUE!</v>
      </c>
      <c r="S46" s="65"/>
      <c r="T46" s="66"/>
      <c r="U46" s="65"/>
      <c r="V46" s="66"/>
      <c r="X46" s="39"/>
      <c r="Y46" s="39"/>
      <c r="Z46" s="66"/>
      <c r="AA46" s="72"/>
      <c r="AB46" s="66"/>
      <c r="AC46" s="66"/>
      <c r="AD46" s="69"/>
      <c r="AE46" s="39"/>
      <c r="AF46" s="39"/>
      <c r="AG46" s="48"/>
      <c r="AH46" s="48"/>
    </row>
    <row r="47" spans="1:34" x14ac:dyDescent="0.25">
      <c r="A47" t="s">
        <v>131</v>
      </c>
      <c r="B47" t="s">
        <v>132</v>
      </c>
      <c r="C47" s="170">
        <v>0</v>
      </c>
      <c r="D47" s="170">
        <v>0</v>
      </c>
      <c r="E47" s="170">
        <v>0</v>
      </c>
      <c r="F47" s="170">
        <v>0</v>
      </c>
      <c r="G47" s="95" t="s">
        <v>220</v>
      </c>
      <c r="H47" s="95" t="s">
        <v>220</v>
      </c>
      <c r="I47" s="95" t="s">
        <v>220</v>
      </c>
      <c r="J47" s="179">
        <v>0</v>
      </c>
      <c r="K47" s="95" t="s">
        <v>220</v>
      </c>
      <c r="L47" s="95" t="s">
        <v>220</v>
      </c>
      <c r="M47" s="66" t="str">
        <f t="shared" si="0"/>
        <v>SS999</v>
      </c>
      <c r="N47" s="185" t="e">
        <v>#N/A</v>
      </c>
      <c r="O47" s="187" t="e">
        <v>#VALUE!</v>
      </c>
      <c r="P47" s="187" t="e">
        <v>#VALUE!</v>
      </c>
      <c r="Q47" s="187" t="e">
        <f t="shared" si="1"/>
        <v>#VALUE!</v>
      </c>
      <c r="R47" s="188" t="e">
        <f t="shared" si="2"/>
        <v>#VALUE!</v>
      </c>
      <c r="S47" s="65"/>
      <c r="T47" s="66"/>
      <c r="U47" s="65"/>
      <c r="V47" s="66"/>
      <c r="X47" s="39"/>
      <c r="Y47" s="39"/>
      <c r="Z47" s="67"/>
      <c r="AA47" s="71"/>
      <c r="AB47" s="66"/>
      <c r="AC47" s="66"/>
      <c r="AD47" s="69"/>
      <c r="AE47" s="39"/>
      <c r="AF47" s="39"/>
      <c r="AG47" s="48"/>
      <c r="AH47" s="48"/>
    </row>
    <row r="48" spans="1:34" x14ac:dyDescent="0.25">
      <c r="A48" t="s">
        <v>133</v>
      </c>
      <c r="B48" t="s">
        <v>134</v>
      </c>
      <c r="C48" s="170">
        <v>0</v>
      </c>
      <c r="D48" s="170">
        <v>0</v>
      </c>
      <c r="E48" s="170">
        <v>0</v>
      </c>
      <c r="F48" s="170">
        <v>0</v>
      </c>
      <c r="G48" s="95" t="s">
        <v>220</v>
      </c>
      <c r="H48" s="95" t="s">
        <v>220</v>
      </c>
      <c r="I48" s="95" t="s">
        <v>220</v>
      </c>
      <c r="J48" s="179">
        <v>0</v>
      </c>
      <c r="K48" s="95" t="s">
        <v>220</v>
      </c>
      <c r="L48" s="95" t="s">
        <v>220</v>
      </c>
      <c r="M48" s="66" t="str">
        <f t="shared" si="0"/>
        <v>ST999</v>
      </c>
      <c r="N48" s="185" t="e">
        <v>#N/A</v>
      </c>
      <c r="O48" s="187" t="e">
        <v>#VALUE!</v>
      </c>
      <c r="P48" s="187" t="e">
        <v>#VALUE!</v>
      </c>
      <c r="Q48" s="187" t="e">
        <f t="shared" si="1"/>
        <v>#VALUE!</v>
      </c>
      <c r="R48" s="188" t="e">
        <f t="shared" si="2"/>
        <v>#VALUE!</v>
      </c>
      <c r="S48" s="65"/>
      <c r="T48" s="66"/>
      <c r="U48" s="65"/>
      <c r="V48" s="66"/>
      <c r="X48" s="39"/>
      <c r="Y48" s="39"/>
      <c r="Z48" s="67"/>
      <c r="AA48" s="71"/>
      <c r="AB48" s="66"/>
      <c r="AC48" s="66"/>
      <c r="AD48" s="69"/>
      <c r="AE48" s="39"/>
      <c r="AF48" s="39"/>
      <c r="AG48" s="48"/>
      <c r="AH48" s="48"/>
    </row>
    <row r="49" spans="1:34" x14ac:dyDescent="0.25">
      <c r="A49" t="s">
        <v>60</v>
      </c>
      <c r="B49" t="s">
        <v>61</v>
      </c>
      <c r="C49" s="170">
        <v>260</v>
      </c>
      <c r="D49" s="170">
        <v>2</v>
      </c>
      <c r="E49" s="170">
        <v>50</v>
      </c>
      <c r="F49" s="170">
        <v>208</v>
      </c>
      <c r="G49" s="120" t="s">
        <v>1019</v>
      </c>
      <c r="H49" s="120">
        <v>205</v>
      </c>
      <c r="I49" s="113">
        <v>0.10000000149011612</v>
      </c>
      <c r="J49" s="180">
        <v>116</v>
      </c>
      <c r="K49" s="172">
        <v>0.49000000953674316</v>
      </c>
      <c r="L49" s="146">
        <v>1.4714764431118965E-2</v>
      </c>
      <c r="M49" s="66" t="str">
        <f t="shared" si="0"/>
        <v>RM1</v>
      </c>
      <c r="N49" s="185">
        <v>13</v>
      </c>
      <c r="O49" s="187">
        <v>0.4</v>
      </c>
      <c r="P49" s="187">
        <v>0.59</v>
      </c>
      <c r="Q49" s="187">
        <f t="shared" si="1"/>
        <v>9.0000009536743142E-2</v>
      </c>
      <c r="R49" s="188">
        <f t="shared" si="2"/>
        <v>9.9999990463256805E-2</v>
      </c>
      <c r="S49" s="65"/>
      <c r="T49" s="66"/>
      <c r="U49" s="65"/>
      <c r="V49" s="66"/>
      <c r="Z49" s="66"/>
      <c r="AA49" s="72"/>
      <c r="AB49" s="66"/>
      <c r="AC49" s="66"/>
      <c r="AD49" s="69"/>
      <c r="AE49" s="39"/>
      <c r="AF49" s="39"/>
      <c r="AG49" s="48"/>
      <c r="AH49" s="48"/>
    </row>
    <row r="50" spans="1:34" x14ac:dyDescent="0.25">
      <c r="A50" t="s">
        <v>92</v>
      </c>
      <c r="B50" t="s">
        <v>93</v>
      </c>
      <c r="C50" s="170">
        <v>585</v>
      </c>
      <c r="D50" s="170">
        <v>206</v>
      </c>
      <c r="E50" s="170">
        <v>187</v>
      </c>
      <c r="F50" s="170">
        <v>192</v>
      </c>
      <c r="G50" s="120" t="s">
        <v>1013</v>
      </c>
      <c r="H50" s="120">
        <v>188</v>
      </c>
      <c r="I50" s="113">
        <v>7.0000000298023224E-2</v>
      </c>
      <c r="J50" s="180">
        <v>115</v>
      </c>
      <c r="K50" s="172">
        <v>0.62999999523162842</v>
      </c>
      <c r="L50" s="146">
        <v>1.3306978158652782E-2</v>
      </c>
      <c r="M50" s="66" t="str">
        <f t="shared" si="0"/>
        <v>RVJ</v>
      </c>
      <c r="N50" s="185">
        <v>26</v>
      </c>
      <c r="O50" s="187">
        <v>0.54</v>
      </c>
      <c r="P50" s="187">
        <v>0.72</v>
      </c>
      <c r="Q50" s="187">
        <f t="shared" si="1"/>
        <v>8.9999995231628382E-2</v>
      </c>
      <c r="R50" s="188">
        <f t="shared" si="2"/>
        <v>9.0000004768371555E-2</v>
      </c>
      <c r="S50" s="65"/>
      <c r="T50" s="66"/>
      <c r="U50" s="65"/>
      <c r="V50" s="66"/>
      <c r="Z50" s="66"/>
      <c r="AA50" s="72"/>
      <c r="AB50" s="66"/>
      <c r="AC50" s="66"/>
      <c r="AD50" s="69"/>
      <c r="AE50" s="39"/>
      <c r="AF50" s="39"/>
      <c r="AG50" s="48"/>
      <c r="AH50" s="48"/>
    </row>
    <row r="51" spans="1:34" x14ac:dyDescent="0.25">
      <c r="A51" t="s">
        <v>433</v>
      </c>
      <c r="B51" t="s">
        <v>353</v>
      </c>
      <c r="C51" s="170">
        <v>539</v>
      </c>
      <c r="D51" s="170">
        <v>184</v>
      </c>
      <c r="E51" s="170">
        <v>173</v>
      </c>
      <c r="F51" s="170">
        <v>182</v>
      </c>
      <c r="G51" s="120" t="s">
        <v>1024</v>
      </c>
      <c r="H51" s="120">
        <v>179</v>
      </c>
      <c r="I51" s="113">
        <v>0.15999999642372131</v>
      </c>
      <c r="J51" s="180">
        <v>142</v>
      </c>
      <c r="K51" s="172">
        <v>0.87000000476837158</v>
      </c>
      <c r="L51" s="146">
        <v>2.0514767616987228E-2</v>
      </c>
      <c r="M51" s="66" t="str">
        <f t="shared" si="0"/>
        <v>RNN</v>
      </c>
      <c r="N51" s="185">
        <v>51</v>
      </c>
      <c r="O51" s="187">
        <v>0.8</v>
      </c>
      <c r="P51" s="187">
        <v>0.92</v>
      </c>
      <c r="Q51" s="187">
        <f t="shared" si="1"/>
        <v>7.0000004768371538E-2</v>
      </c>
      <c r="R51" s="188">
        <f t="shared" si="2"/>
        <v>4.9999995231628458E-2</v>
      </c>
      <c r="S51" s="65"/>
      <c r="T51" s="66"/>
      <c r="U51" s="65"/>
      <c r="V51" s="66"/>
      <c r="X51" s="39"/>
      <c r="Y51" s="39"/>
      <c r="Z51" s="67"/>
      <c r="AA51" s="71"/>
      <c r="AB51" s="66"/>
      <c r="AC51" s="66"/>
      <c r="AD51" s="69"/>
      <c r="AE51" s="39"/>
      <c r="AF51" s="39"/>
      <c r="AG51" s="48"/>
      <c r="AH51" s="48"/>
    </row>
    <row r="52" spans="1:34" x14ac:dyDescent="0.25">
      <c r="A52" t="s">
        <v>31</v>
      </c>
      <c r="B52" t="s">
        <v>32</v>
      </c>
      <c r="C52" s="170">
        <v>1</v>
      </c>
      <c r="D52" s="170">
        <v>1</v>
      </c>
      <c r="E52" s="170">
        <v>0</v>
      </c>
      <c r="F52" s="170">
        <v>0</v>
      </c>
      <c r="G52" s="95" t="s">
        <v>220</v>
      </c>
      <c r="H52" s="95" t="s">
        <v>220</v>
      </c>
      <c r="I52" s="95" t="s">
        <v>220</v>
      </c>
      <c r="J52" s="179">
        <v>0</v>
      </c>
      <c r="K52" s="95" t="s">
        <v>220</v>
      </c>
      <c r="L52" s="146" t="s">
        <v>227</v>
      </c>
      <c r="M52" s="66" t="str">
        <f t="shared" si="0"/>
        <v>RGN</v>
      </c>
      <c r="N52" s="185" t="e">
        <v>#N/A</v>
      </c>
      <c r="O52" s="187" t="e">
        <v>#VALUE!</v>
      </c>
      <c r="P52" s="187" t="e">
        <v>#VALUE!</v>
      </c>
      <c r="Q52" s="187" t="e">
        <f t="shared" si="1"/>
        <v>#VALUE!</v>
      </c>
      <c r="R52" s="188" t="e">
        <f t="shared" si="2"/>
        <v>#VALUE!</v>
      </c>
      <c r="S52" s="65"/>
      <c r="T52" s="66"/>
      <c r="U52" s="65"/>
      <c r="V52" s="66"/>
      <c r="X52" s="39"/>
      <c r="Y52" s="39"/>
      <c r="Z52" s="67"/>
      <c r="AA52" s="71"/>
      <c r="AB52" s="66"/>
      <c r="AC52" s="66"/>
      <c r="AD52" s="69"/>
      <c r="AE52" s="39"/>
      <c r="AF52" s="39"/>
      <c r="AG52" s="48"/>
      <c r="AH52" s="48"/>
    </row>
    <row r="53" spans="1:34" x14ac:dyDescent="0.25">
      <c r="A53" t="s">
        <v>66</v>
      </c>
      <c r="B53" t="s">
        <v>67</v>
      </c>
      <c r="C53" s="170">
        <v>402</v>
      </c>
      <c r="D53" s="170">
        <v>18</v>
      </c>
      <c r="E53" s="170">
        <v>172</v>
      </c>
      <c r="F53" s="170">
        <v>212</v>
      </c>
      <c r="G53" s="120" t="s">
        <v>1003</v>
      </c>
      <c r="H53" s="120">
        <v>212</v>
      </c>
      <c r="I53" s="113">
        <v>5.000000074505806E-2</v>
      </c>
      <c r="J53" s="180">
        <v>157</v>
      </c>
      <c r="K53" s="172">
        <v>0.9100000262260437</v>
      </c>
      <c r="L53" s="146">
        <v>1.0549982078373432E-2</v>
      </c>
      <c r="M53" s="66" t="str">
        <f t="shared" si="0"/>
        <v>RNS</v>
      </c>
      <c r="N53" s="185">
        <v>55</v>
      </c>
      <c r="O53" s="187">
        <v>0.85</v>
      </c>
      <c r="P53" s="187">
        <v>0.95</v>
      </c>
      <c r="Q53" s="187">
        <f t="shared" si="1"/>
        <v>6.0000026226043723E-2</v>
      </c>
      <c r="R53" s="188">
        <f t="shared" si="2"/>
        <v>3.9999973773956254E-2</v>
      </c>
      <c r="S53" s="65"/>
      <c r="T53" s="66"/>
      <c r="U53" s="65"/>
      <c r="V53" s="66"/>
      <c r="X53" s="39"/>
      <c r="Y53" s="39"/>
      <c r="Z53" s="66"/>
      <c r="AA53" s="72"/>
      <c r="AB53" s="66"/>
      <c r="AC53" s="66"/>
      <c r="AD53" s="69"/>
      <c r="AE53" s="39"/>
      <c r="AF53" s="39"/>
      <c r="AG53" s="48"/>
      <c r="AH53" s="48"/>
    </row>
    <row r="54" spans="1:34" x14ac:dyDescent="0.25">
      <c r="A54" t="s">
        <v>429</v>
      </c>
      <c r="B54" t="s">
        <v>430</v>
      </c>
      <c r="C54" s="170">
        <v>299</v>
      </c>
      <c r="D54" s="170">
        <v>100</v>
      </c>
      <c r="E54" s="170">
        <v>101</v>
      </c>
      <c r="F54" s="170">
        <v>98</v>
      </c>
      <c r="G54" s="120" t="s">
        <v>1000</v>
      </c>
      <c r="H54" s="120">
        <v>96</v>
      </c>
      <c r="I54" s="113">
        <v>7.9999998211860657E-2</v>
      </c>
      <c r="J54" s="180">
        <v>62</v>
      </c>
      <c r="K54" s="172">
        <v>0.88999998569488525</v>
      </c>
      <c r="L54" s="146">
        <v>2.6223454624414444E-2</v>
      </c>
      <c r="M54" s="66" t="str">
        <f t="shared" si="0"/>
        <v>RM3</v>
      </c>
      <c r="N54" s="185">
        <v>54</v>
      </c>
      <c r="O54" s="187">
        <v>0.78</v>
      </c>
      <c r="P54" s="187">
        <v>0.95</v>
      </c>
      <c r="Q54" s="187">
        <f t="shared" si="1"/>
        <v>0.10999998569488523</v>
      </c>
      <c r="R54" s="188">
        <f t="shared" si="2"/>
        <v>6.0000014305114702E-2</v>
      </c>
      <c r="S54" s="65"/>
      <c r="T54" s="66"/>
      <c r="U54" s="65"/>
      <c r="V54" s="66"/>
      <c r="X54" s="39"/>
      <c r="Z54" s="66"/>
      <c r="AA54" s="72"/>
      <c r="AB54" s="66"/>
      <c r="AC54" s="66"/>
      <c r="AD54" s="69"/>
      <c r="AE54" s="39"/>
      <c r="AF54" s="39"/>
      <c r="AG54" s="48"/>
      <c r="AH54" s="48"/>
    </row>
    <row r="55" spans="1:34" x14ac:dyDescent="0.25">
      <c r="A55" t="s">
        <v>109</v>
      </c>
      <c r="B55" t="s">
        <v>110</v>
      </c>
      <c r="C55" s="170">
        <v>0</v>
      </c>
      <c r="D55" s="170">
        <v>0</v>
      </c>
      <c r="E55" s="170">
        <v>0</v>
      </c>
      <c r="F55" s="170">
        <v>0</v>
      </c>
      <c r="G55" s="95" t="s">
        <v>220</v>
      </c>
      <c r="H55" s="95" t="s">
        <v>220</v>
      </c>
      <c r="I55" s="95" t="s">
        <v>220</v>
      </c>
      <c r="J55" s="179">
        <v>0</v>
      </c>
      <c r="K55" s="95" t="s">
        <v>220</v>
      </c>
      <c r="L55" s="95" t="s">
        <v>220</v>
      </c>
      <c r="M55" s="66" t="str">
        <f t="shared" si="0"/>
        <v>RX1</v>
      </c>
      <c r="N55" s="185" t="e">
        <v>#N/A</v>
      </c>
      <c r="O55" s="187" t="e">
        <v>#VALUE!</v>
      </c>
      <c r="P55" s="187" t="e">
        <v>#VALUE!</v>
      </c>
      <c r="Q55" s="187" t="e">
        <f t="shared" si="1"/>
        <v>#VALUE!</v>
      </c>
      <c r="R55" s="188" t="e">
        <f t="shared" si="2"/>
        <v>#VALUE!</v>
      </c>
      <c r="S55" s="65"/>
      <c r="T55" s="66"/>
      <c r="U55" s="65"/>
      <c r="V55" s="66"/>
      <c r="X55" s="39"/>
      <c r="Z55" s="66"/>
      <c r="AA55" s="72"/>
      <c r="AB55" s="66"/>
      <c r="AC55" s="66"/>
      <c r="AD55" s="69"/>
      <c r="AE55" s="39"/>
      <c r="AF55" s="39"/>
      <c r="AG55" s="48"/>
      <c r="AH55" s="48"/>
    </row>
    <row r="56" spans="1:34" x14ac:dyDescent="0.25">
      <c r="A56" t="s">
        <v>88</v>
      </c>
      <c r="B56" t="s">
        <v>298</v>
      </c>
      <c r="C56" s="170">
        <v>40</v>
      </c>
      <c r="D56" s="170">
        <v>20</v>
      </c>
      <c r="E56" s="170">
        <v>15</v>
      </c>
      <c r="F56" s="170">
        <v>5</v>
      </c>
      <c r="G56" s="120" t="s">
        <v>176</v>
      </c>
      <c r="H56" s="120">
        <v>5</v>
      </c>
      <c r="I56" s="113">
        <v>0</v>
      </c>
      <c r="J56" s="179">
        <v>5</v>
      </c>
      <c r="K56" s="172" t="s">
        <v>227</v>
      </c>
      <c r="L56" s="146">
        <v>0</v>
      </c>
      <c r="M56" s="66" t="str">
        <f t="shared" si="0"/>
        <v>RTH</v>
      </c>
      <c r="N56" s="185" t="e">
        <v>#N/A</v>
      </c>
      <c r="O56" s="187">
        <v>0.01</v>
      </c>
      <c r="P56" s="187">
        <v>0.72</v>
      </c>
      <c r="Q56" s="187" t="e">
        <f t="shared" si="1"/>
        <v>#VALUE!</v>
      </c>
      <c r="R56" s="188" t="e">
        <f t="shared" si="2"/>
        <v>#VALUE!</v>
      </c>
      <c r="S56" s="65"/>
      <c r="T56" s="66"/>
      <c r="U56" s="65"/>
      <c r="V56" s="66"/>
      <c r="X56" s="39"/>
      <c r="Y56" s="39"/>
      <c r="Z56" s="66"/>
      <c r="AA56" s="72"/>
      <c r="AB56" s="66"/>
      <c r="AC56" s="66"/>
      <c r="AD56" s="69"/>
      <c r="AE56" s="39"/>
      <c r="AF56" s="39"/>
      <c r="AG56" s="48"/>
      <c r="AH56" s="48"/>
    </row>
    <row r="57" spans="1:34" x14ac:dyDescent="0.25">
      <c r="A57" t="s">
        <v>71</v>
      </c>
      <c r="B57" t="s">
        <v>72</v>
      </c>
      <c r="C57" s="170">
        <v>0</v>
      </c>
      <c r="D57" s="170">
        <v>0</v>
      </c>
      <c r="E57" s="170">
        <v>0</v>
      </c>
      <c r="F57" s="170">
        <v>0</v>
      </c>
      <c r="G57" s="95" t="s">
        <v>220</v>
      </c>
      <c r="H57" s="95" t="s">
        <v>220</v>
      </c>
      <c r="I57" s="95" t="s">
        <v>220</v>
      </c>
      <c r="J57" s="179">
        <v>0</v>
      </c>
      <c r="K57" s="95" t="s">
        <v>220</v>
      </c>
      <c r="L57" s="95" t="s">
        <v>220</v>
      </c>
      <c r="M57" s="66" t="str">
        <f t="shared" si="0"/>
        <v>RQW</v>
      </c>
      <c r="N57" s="185" t="e">
        <v>#N/A</v>
      </c>
      <c r="O57" s="187" t="e">
        <v>#VALUE!</v>
      </c>
      <c r="P57" s="187" t="e">
        <v>#VALUE!</v>
      </c>
      <c r="Q57" s="187" t="e">
        <f t="shared" si="1"/>
        <v>#VALUE!</v>
      </c>
      <c r="R57" s="188" t="e">
        <f t="shared" si="2"/>
        <v>#VALUE!</v>
      </c>
      <c r="S57" s="65"/>
      <c r="T57" s="66"/>
      <c r="U57" s="65"/>
      <c r="V57" s="66"/>
      <c r="X57" s="39"/>
      <c r="Y57" s="39"/>
      <c r="Z57" s="66"/>
      <c r="AA57" s="72"/>
      <c r="AB57" s="66"/>
      <c r="AC57" s="66"/>
      <c r="AD57" s="69"/>
      <c r="AE57" s="39"/>
      <c r="AF57" s="39"/>
      <c r="AG57" s="48"/>
      <c r="AH57" s="48"/>
    </row>
    <row r="58" spans="1:34" x14ac:dyDescent="0.25">
      <c r="A58" t="s">
        <v>43</v>
      </c>
      <c r="B58" t="s">
        <v>44</v>
      </c>
      <c r="C58" s="170">
        <v>246</v>
      </c>
      <c r="D58" s="170">
        <v>46</v>
      </c>
      <c r="E58" s="170">
        <v>115</v>
      </c>
      <c r="F58" s="170">
        <v>85</v>
      </c>
      <c r="G58" s="120" t="s">
        <v>1003</v>
      </c>
      <c r="H58" s="120">
        <v>83</v>
      </c>
      <c r="I58" s="113">
        <v>0.11999999731779099</v>
      </c>
      <c r="J58" s="180">
        <v>65</v>
      </c>
      <c r="K58" s="172">
        <v>0.76999998092651367</v>
      </c>
      <c r="L58" s="146">
        <v>1.221097819507122E-2</v>
      </c>
      <c r="M58" s="66" t="str">
        <f t="shared" si="0"/>
        <v>RHW</v>
      </c>
      <c r="N58" s="185">
        <v>42</v>
      </c>
      <c r="O58" s="187">
        <v>0.65</v>
      </c>
      <c r="P58" s="187">
        <v>0.86</v>
      </c>
      <c r="Q58" s="187">
        <f t="shared" si="1"/>
        <v>0.11999998092651365</v>
      </c>
      <c r="R58" s="188">
        <f t="shared" si="2"/>
        <v>9.0000019073486315E-2</v>
      </c>
      <c r="S58" s="65"/>
      <c r="T58" s="66"/>
      <c r="U58" s="65"/>
      <c r="V58" s="66"/>
      <c r="X58" s="39"/>
      <c r="Z58" s="67"/>
      <c r="AA58" s="71"/>
      <c r="AB58" s="66"/>
      <c r="AC58" s="66"/>
      <c r="AD58" s="69"/>
      <c r="AE58" s="39"/>
      <c r="AF58" s="39"/>
      <c r="AG58" s="48"/>
      <c r="AH58" s="48"/>
    </row>
    <row r="59" spans="1:34" x14ac:dyDescent="0.25">
      <c r="A59" t="s">
        <v>81</v>
      </c>
      <c r="B59" t="s">
        <v>82</v>
      </c>
      <c r="C59" s="170">
        <v>4</v>
      </c>
      <c r="D59" s="170">
        <v>0</v>
      </c>
      <c r="E59" s="170">
        <v>3</v>
      </c>
      <c r="F59" s="170">
        <v>1</v>
      </c>
      <c r="G59" s="120" t="s">
        <v>176</v>
      </c>
      <c r="H59" s="120">
        <v>1</v>
      </c>
      <c r="I59" s="113">
        <v>0</v>
      </c>
      <c r="J59" s="179">
        <v>1</v>
      </c>
      <c r="K59" s="172" t="s">
        <v>227</v>
      </c>
      <c r="L59" s="146" t="s">
        <v>227</v>
      </c>
      <c r="M59" s="66" t="str">
        <f t="shared" si="0"/>
        <v>RT3</v>
      </c>
      <c r="N59" s="185" t="e">
        <v>#N/A</v>
      </c>
      <c r="O59" s="187">
        <v>0</v>
      </c>
      <c r="P59" s="187">
        <v>0.98</v>
      </c>
      <c r="Q59" s="187" t="e">
        <f t="shared" si="1"/>
        <v>#VALUE!</v>
      </c>
      <c r="R59" s="188" t="e">
        <f t="shared" si="2"/>
        <v>#VALUE!</v>
      </c>
      <c r="S59" s="65"/>
      <c r="T59" s="66"/>
      <c r="U59" s="65"/>
      <c r="V59" s="66"/>
      <c r="X59" s="39"/>
      <c r="Y59" s="39"/>
      <c r="Z59" s="67"/>
      <c r="AA59" s="71"/>
      <c r="AB59" s="66"/>
      <c r="AC59" s="66"/>
      <c r="AD59" s="69"/>
      <c r="AE59" s="39"/>
      <c r="AF59" s="39"/>
      <c r="AG59" s="48"/>
      <c r="AH59" s="48"/>
    </row>
    <row r="60" spans="1:34" x14ac:dyDescent="0.25">
      <c r="A60" t="s">
        <v>27</v>
      </c>
      <c r="B60" t="s">
        <v>28</v>
      </c>
      <c r="C60" s="170">
        <v>294</v>
      </c>
      <c r="D60" s="170">
        <v>0</v>
      </c>
      <c r="E60" s="170">
        <v>120</v>
      </c>
      <c r="F60" s="170">
        <v>174</v>
      </c>
      <c r="G60" s="120" t="s">
        <v>1025</v>
      </c>
      <c r="H60" s="120">
        <v>172</v>
      </c>
      <c r="I60" s="113">
        <v>0.2199999988079071</v>
      </c>
      <c r="J60" s="179">
        <v>104</v>
      </c>
      <c r="K60" s="172">
        <v>0.80000001192092896</v>
      </c>
      <c r="L60" s="146">
        <v>1.0565049946308136E-2</v>
      </c>
      <c r="M60" s="66" t="str">
        <f t="shared" si="0"/>
        <v>REF</v>
      </c>
      <c r="N60" s="185">
        <v>43</v>
      </c>
      <c r="O60" s="187">
        <v>0.71</v>
      </c>
      <c r="P60" s="187">
        <v>0.87</v>
      </c>
      <c r="Q60" s="187">
        <f t="shared" si="1"/>
        <v>9.0000011920928991E-2</v>
      </c>
      <c r="R60" s="188">
        <f t="shared" si="2"/>
        <v>6.999998807907104E-2</v>
      </c>
      <c r="S60" s="65"/>
      <c r="T60" s="66"/>
      <c r="U60" s="65"/>
      <c r="V60" s="66"/>
      <c r="X60" s="39"/>
      <c r="Y60" s="39"/>
      <c r="Z60" s="67"/>
      <c r="AA60" s="71"/>
      <c r="AB60" s="66"/>
      <c r="AC60" s="66"/>
      <c r="AD60" s="69"/>
      <c r="AE60" s="39"/>
      <c r="AF60" s="39"/>
      <c r="AG60" s="48"/>
      <c r="AH60" s="48"/>
    </row>
    <row r="61" spans="1:34" x14ac:dyDescent="0.25">
      <c r="A61" t="s">
        <v>37</v>
      </c>
      <c r="B61" t="s">
        <v>596</v>
      </c>
      <c r="C61" s="170">
        <v>347</v>
      </c>
      <c r="D61" s="170">
        <v>99</v>
      </c>
      <c r="E61" s="170">
        <v>131</v>
      </c>
      <c r="F61" s="170">
        <v>117</v>
      </c>
      <c r="G61" s="120" t="s">
        <v>1006</v>
      </c>
      <c r="H61" s="120">
        <v>113</v>
      </c>
      <c r="I61" s="113">
        <v>0.18999999761581421</v>
      </c>
      <c r="J61" s="180">
        <v>81</v>
      </c>
      <c r="K61" s="172">
        <v>0.74000000953674316</v>
      </c>
      <c r="L61" s="146">
        <v>4.4142790138721466E-2</v>
      </c>
      <c r="M61" s="66" t="str">
        <f t="shared" si="0"/>
        <v>RH8</v>
      </c>
      <c r="N61" s="185">
        <v>36</v>
      </c>
      <c r="O61" s="187">
        <v>0.63</v>
      </c>
      <c r="P61" s="187">
        <v>0.83</v>
      </c>
      <c r="Q61" s="187">
        <f t="shared" si="1"/>
        <v>0.11000000953674316</v>
      </c>
      <c r="R61" s="188">
        <f t="shared" si="2"/>
        <v>8.9999990463256796E-2</v>
      </c>
      <c r="S61" s="65"/>
      <c r="T61" s="66"/>
      <c r="U61" s="65"/>
      <c r="V61" s="66"/>
      <c r="X61" s="39"/>
      <c r="Y61" s="39"/>
      <c r="Z61" s="67"/>
      <c r="AA61" s="71"/>
      <c r="AB61" s="66"/>
      <c r="AC61" s="66"/>
      <c r="AD61" s="69"/>
      <c r="AE61" s="39"/>
      <c r="AF61" s="39"/>
      <c r="AG61" s="48"/>
      <c r="AH61" s="48"/>
    </row>
    <row r="62" spans="1:34" x14ac:dyDescent="0.25">
      <c r="A62" t="s">
        <v>18</v>
      </c>
      <c r="B62" t="s">
        <v>19</v>
      </c>
      <c r="C62" s="170">
        <v>107</v>
      </c>
      <c r="D62" s="170">
        <v>103</v>
      </c>
      <c r="E62" s="170">
        <v>1</v>
      </c>
      <c r="F62" s="170">
        <v>3</v>
      </c>
      <c r="G62" s="120" t="s">
        <v>1026</v>
      </c>
      <c r="H62" s="120">
        <v>3</v>
      </c>
      <c r="I62" s="113">
        <v>0.33000001311302185</v>
      </c>
      <c r="J62" s="179">
        <v>2</v>
      </c>
      <c r="K62" s="172" t="s">
        <v>227</v>
      </c>
      <c r="L62" s="146">
        <v>1.91617701202631E-2</v>
      </c>
      <c r="M62" s="66" t="str">
        <f t="shared" si="0"/>
        <v>RAL</v>
      </c>
      <c r="N62" s="185" t="e">
        <v>#N/A</v>
      </c>
      <c r="O62" s="187">
        <v>0.01</v>
      </c>
      <c r="P62" s="187">
        <v>0.99</v>
      </c>
      <c r="Q62" s="187" t="e">
        <f t="shared" si="1"/>
        <v>#VALUE!</v>
      </c>
      <c r="R62" s="188" t="e">
        <f t="shared" si="2"/>
        <v>#VALUE!</v>
      </c>
      <c r="S62" s="65"/>
      <c r="T62" s="66"/>
      <c r="U62" s="65"/>
      <c r="V62" s="66"/>
      <c r="Z62" s="66"/>
      <c r="AA62" s="72"/>
      <c r="AB62" s="66"/>
      <c r="AC62" s="66"/>
      <c r="AD62" s="69"/>
      <c r="AE62" s="39"/>
      <c r="AF62" s="39"/>
      <c r="AG62" s="48"/>
      <c r="AH62" s="48"/>
    </row>
    <row r="63" spans="1:34" x14ac:dyDescent="0.25">
      <c r="A63" t="s">
        <v>889</v>
      </c>
      <c r="B63" t="s">
        <v>890</v>
      </c>
      <c r="C63" s="170">
        <v>0</v>
      </c>
      <c r="D63" s="170">
        <v>0</v>
      </c>
      <c r="E63" s="170">
        <v>0</v>
      </c>
      <c r="F63" s="170">
        <v>0</v>
      </c>
      <c r="G63" s="95" t="s">
        <v>220</v>
      </c>
      <c r="H63" s="95" t="s">
        <v>220</v>
      </c>
      <c r="I63" s="95" t="s">
        <v>220</v>
      </c>
      <c r="J63" s="179">
        <v>0</v>
      </c>
      <c r="K63" s="95" t="s">
        <v>220</v>
      </c>
      <c r="L63" s="95" t="s">
        <v>220</v>
      </c>
      <c r="M63" s="66" t="str">
        <f t="shared" si="0"/>
        <v>RGM</v>
      </c>
      <c r="N63" s="185" t="e">
        <v>#N/A</v>
      </c>
      <c r="O63" s="187" t="e">
        <v>#VALUE!</v>
      </c>
      <c r="P63" s="187" t="e">
        <v>#VALUE!</v>
      </c>
      <c r="Q63" s="187" t="e">
        <f t="shared" si="1"/>
        <v>#VALUE!</v>
      </c>
      <c r="R63" s="188" t="e">
        <f t="shared" si="2"/>
        <v>#VALUE!</v>
      </c>
      <c r="S63" s="65"/>
      <c r="T63" s="66"/>
      <c r="U63" s="65"/>
      <c r="V63" s="66"/>
      <c r="X63" s="39"/>
      <c r="Y63" s="39"/>
      <c r="Z63" s="67"/>
      <c r="AA63" s="71"/>
      <c r="AB63" s="66"/>
      <c r="AC63" s="66"/>
      <c r="AD63" s="69"/>
      <c r="AE63" s="39"/>
      <c r="AF63" s="39"/>
      <c r="AG63" s="48"/>
      <c r="AH63" s="48"/>
    </row>
    <row r="64" spans="1:34" x14ac:dyDescent="0.25">
      <c r="A64" t="s">
        <v>58</v>
      </c>
      <c r="B64" t="s">
        <v>59</v>
      </c>
      <c r="C64" s="170">
        <v>48</v>
      </c>
      <c r="D64" s="170">
        <v>19</v>
      </c>
      <c r="E64" s="170">
        <v>6</v>
      </c>
      <c r="F64" s="170">
        <v>23</v>
      </c>
      <c r="G64" s="120" t="s">
        <v>1001</v>
      </c>
      <c r="H64" s="120">
        <v>22</v>
      </c>
      <c r="I64" s="113">
        <v>0</v>
      </c>
      <c r="J64" s="179">
        <v>22</v>
      </c>
      <c r="K64" s="172">
        <v>1</v>
      </c>
      <c r="L64" s="146">
        <v>3.9279896765947342E-2</v>
      </c>
      <c r="M64" s="66" t="str">
        <f t="shared" si="0"/>
        <v>RL4</v>
      </c>
      <c r="N64" s="185">
        <v>57</v>
      </c>
      <c r="O64" s="187">
        <v>0.85</v>
      </c>
      <c r="P64" s="187">
        <v>1</v>
      </c>
      <c r="Q64" s="187">
        <f t="shared" si="1"/>
        <v>0.15000000000000002</v>
      </c>
      <c r="R64" s="188">
        <f t="shared" si="2"/>
        <v>0</v>
      </c>
      <c r="S64" s="65"/>
      <c r="T64" s="66"/>
      <c r="U64" s="65"/>
      <c r="V64" s="66"/>
      <c r="X64" s="39"/>
      <c r="Z64" s="67"/>
      <c r="AA64" s="71"/>
      <c r="AB64" s="66"/>
      <c r="AC64" s="66"/>
      <c r="AD64" s="69"/>
      <c r="AE64" s="39"/>
      <c r="AF64" s="39"/>
      <c r="AG64" s="48"/>
      <c r="AH64" s="48"/>
    </row>
    <row r="65" spans="1:34" x14ac:dyDescent="0.25">
      <c r="A65" t="s">
        <v>41</v>
      </c>
      <c r="B65" t="s">
        <v>42</v>
      </c>
      <c r="C65" s="170">
        <v>83</v>
      </c>
      <c r="D65" s="170">
        <v>18</v>
      </c>
      <c r="E65" s="170">
        <v>19</v>
      </c>
      <c r="F65" s="170">
        <v>46</v>
      </c>
      <c r="G65" s="120" t="s">
        <v>1019</v>
      </c>
      <c r="H65" s="120">
        <v>46</v>
      </c>
      <c r="I65" s="113">
        <v>1.9999999552965164E-2</v>
      </c>
      <c r="J65" s="180">
        <v>27</v>
      </c>
      <c r="K65" s="172">
        <v>0.67000001668930054</v>
      </c>
      <c r="L65" s="146">
        <v>1.2660257518291473E-2</v>
      </c>
      <c r="M65" s="66" t="str">
        <f t="shared" si="0"/>
        <v>RHQ</v>
      </c>
      <c r="N65" s="185">
        <v>30</v>
      </c>
      <c r="O65" s="187">
        <v>0.46</v>
      </c>
      <c r="P65" s="187">
        <v>0.83</v>
      </c>
      <c r="Q65" s="187">
        <f t="shared" si="1"/>
        <v>0.21000001668930052</v>
      </c>
      <c r="R65" s="188">
        <f t="shared" si="2"/>
        <v>0.15999998331069942</v>
      </c>
      <c r="S65" s="65"/>
      <c r="T65" s="66"/>
      <c r="U65" s="65"/>
      <c r="V65" s="66"/>
      <c r="X65" s="39"/>
      <c r="Z65" s="66"/>
      <c r="AA65" s="72"/>
      <c r="AB65" s="66"/>
      <c r="AC65" s="66"/>
      <c r="AD65" s="69"/>
      <c r="AE65" s="39"/>
      <c r="AF65" s="39"/>
      <c r="AG65" s="48"/>
      <c r="AH65" s="48"/>
    </row>
    <row r="66" spans="1:34" x14ac:dyDescent="0.25">
      <c r="A66" t="s">
        <v>117</v>
      </c>
      <c r="B66" t="s">
        <v>118</v>
      </c>
      <c r="C66" s="170">
        <v>466</v>
      </c>
      <c r="D66" s="170">
        <v>176</v>
      </c>
      <c r="E66" s="170">
        <v>130</v>
      </c>
      <c r="F66" s="170">
        <v>160</v>
      </c>
      <c r="G66" s="120" t="s">
        <v>996</v>
      </c>
      <c r="H66" s="120">
        <v>159</v>
      </c>
      <c r="I66" s="113">
        <v>0.15999999642372131</v>
      </c>
      <c r="J66" s="179">
        <v>138</v>
      </c>
      <c r="K66" s="172">
        <v>0.8399999737739563</v>
      </c>
      <c r="L66" s="146">
        <v>1.4446599408984184E-2</v>
      </c>
      <c r="M66" s="66" t="str">
        <f t="shared" si="0"/>
        <v>RXW</v>
      </c>
      <c r="N66" s="185">
        <v>48</v>
      </c>
      <c r="O66" s="187">
        <v>0.77</v>
      </c>
      <c r="P66" s="187">
        <v>0.9</v>
      </c>
      <c r="Q66" s="187">
        <f t="shared" si="1"/>
        <v>6.9999973773956281E-2</v>
      </c>
      <c r="R66" s="188">
        <f t="shared" si="2"/>
        <v>6.0000026226043723E-2</v>
      </c>
      <c r="S66" s="65"/>
      <c r="T66" s="66"/>
      <c r="U66" s="65"/>
      <c r="V66" s="66"/>
      <c r="Z66" s="66"/>
      <c r="AA66" s="72"/>
      <c r="AB66" s="66"/>
      <c r="AC66" s="66"/>
      <c r="AD66" s="69"/>
      <c r="AE66" s="39"/>
      <c r="AF66" s="39"/>
      <c r="AG66" s="48"/>
      <c r="AH66" s="48"/>
    </row>
    <row r="67" spans="1:34" x14ac:dyDescent="0.25">
      <c r="A67" t="s">
        <v>348</v>
      </c>
      <c r="B67" t="s">
        <v>349</v>
      </c>
      <c r="C67" s="170">
        <v>733</v>
      </c>
      <c r="D67" s="170">
        <v>227</v>
      </c>
      <c r="E67" s="170">
        <v>261</v>
      </c>
      <c r="F67" s="170">
        <v>245</v>
      </c>
      <c r="G67" s="120" t="s">
        <v>1024</v>
      </c>
      <c r="H67" s="120">
        <v>243</v>
      </c>
      <c r="I67" s="113">
        <v>9.0000003576278687E-2</v>
      </c>
      <c r="J67" s="179">
        <v>211</v>
      </c>
      <c r="K67" s="172">
        <v>0.62999999523162842</v>
      </c>
      <c r="L67" s="146">
        <v>2.0052153617143631E-2</v>
      </c>
      <c r="M67" s="66" t="str">
        <f t="shared" ref="M67:M92" si="3">A67</f>
        <v>RH5</v>
      </c>
      <c r="N67" s="185">
        <v>25</v>
      </c>
      <c r="O67" s="187">
        <v>0.56000000000000005</v>
      </c>
      <c r="P67" s="187">
        <v>0.69</v>
      </c>
      <c r="Q67" s="187">
        <f t="shared" ref="Q67:Q92" si="4">K67-O67</f>
        <v>6.9999995231628365E-2</v>
      </c>
      <c r="R67" s="188">
        <f t="shared" ref="R67:R92" si="5">P67-K67</f>
        <v>6.0000004768371529E-2</v>
      </c>
      <c r="S67" s="65"/>
      <c r="T67" s="66"/>
      <c r="U67" s="65"/>
      <c r="V67" s="66"/>
      <c r="X67" s="39"/>
      <c r="Z67" s="66"/>
      <c r="AA67" s="72"/>
      <c r="AB67" s="66"/>
      <c r="AC67" s="66"/>
      <c r="AD67" s="69"/>
      <c r="AE67" s="39"/>
      <c r="AF67" s="39"/>
      <c r="AG67" s="48"/>
      <c r="AH67" s="48"/>
    </row>
    <row r="68" spans="1:34" x14ac:dyDescent="0.25">
      <c r="A68" t="s">
        <v>90</v>
      </c>
      <c r="B68" t="s">
        <v>91</v>
      </c>
      <c r="C68" s="170">
        <v>10</v>
      </c>
      <c r="D68" s="170">
        <v>0</v>
      </c>
      <c r="E68" s="170">
        <v>0</v>
      </c>
      <c r="F68" s="170">
        <v>10</v>
      </c>
      <c r="G68" s="120" t="s">
        <v>996</v>
      </c>
      <c r="H68" s="120">
        <v>10</v>
      </c>
      <c r="I68" s="113">
        <v>0.20000000298023224</v>
      </c>
      <c r="J68" s="179">
        <v>1</v>
      </c>
      <c r="K68" s="172" t="s">
        <v>227</v>
      </c>
      <c r="L68" s="146">
        <v>0</v>
      </c>
      <c r="M68" s="66" t="str">
        <f t="shared" si="3"/>
        <v>RTR</v>
      </c>
      <c r="N68" s="185" t="e">
        <v>#N/A</v>
      </c>
      <c r="O68" s="187">
        <v>0.03</v>
      </c>
      <c r="P68" s="187">
        <v>1</v>
      </c>
      <c r="Q68" s="187" t="e">
        <f t="shared" si="4"/>
        <v>#VALUE!</v>
      </c>
      <c r="R68" s="188" t="e">
        <f t="shared" si="5"/>
        <v>#VALUE!</v>
      </c>
      <c r="S68" s="65"/>
      <c r="T68" s="66"/>
      <c r="U68" s="65"/>
      <c r="V68" s="66"/>
      <c r="X68" s="39"/>
      <c r="Y68" s="39"/>
      <c r="Z68" s="66"/>
      <c r="AA68" s="72"/>
      <c r="AB68" s="66"/>
      <c r="AC68" s="66"/>
      <c r="AD68" s="69"/>
      <c r="AE68" s="39"/>
      <c r="AF68" s="39"/>
      <c r="AG68" s="48"/>
      <c r="AH68" s="48"/>
    </row>
    <row r="69" spans="1:34" x14ac:dyDescent="0.25">
      <c r="A69" t="s">
        <v>333</v>
      </c>
      <c r="B69" t="s">
        <v>334</v>
      </c>
      <c r="C69" s="170">
        <v>277</v>
      </c>
      <c r="D69" s="170">
        <v>59</v>
      </c>
      <c r="E69" s="170">
        <v>77</v>
      </c>
      <c r="F69" s="170">
        <v>141</v>
      </c>
      <c r="G69" s="120" t="s">
        <v>1027</v>
      </c>
      <c r="H69" s="120">
        <v>138</v>
      </c>
      <c r="I69" s="113">
        <v>0.12999999523162842</v>
      </c>
      <c r="J69" s="180">
        <v>106</v>
      </c>
      <c r="K69" s="172">
        <v>0.52999997138977051</v>
      </c>
      <c r="L69" s="146">
        <v>1.8033776432275772E-2</v>
      </c>
      <c r="M69" s="66" t="str">
        <f t="shared" si="3"/>
        <v>R0B</v>
      </c>
      <c r="N69" s="185">
        <v>18</v>
      </c>
      <c r="O69" s="187">
        <v>0.43</v>
      </c>
      <c r="P69" s="187">
        <v>0.63</v>
      </c>
      <c r="Q69" s="187">
        <f t="shared" si="4"/>
        <v>9.9999971389770514E-2</v>
      </c>
      <c r="R69" s="188">
        <f t="shared" si="5"/>
        <v>0.1000000286102295</v>
      </c>
      <c r="S69" s="65"/>
      <c r="T69" s="66"/>
      <c r="U69" s="65"/>
      <c r="V69" s="66"/>
      <c r="X69" s="39"/>
      <c r="Z69" s="66"/>
      <c r="AA69" s="72"/>
      <c r="AB69" s="66"/>
      <c r="AC69" s="66"/>
      <c r="AD69" s="69"/>
      <c r="AE69" s="39"/>
      <c r="AF69" s="39"/>
      <c r="AG69" s="48"/>
      <c r="AH69" s="48"/>
    </row>
    <row r="70" spans="1:34" x14ac:dyDescent="0.25">
      <c r="A70" t="s">
        <v>299</v>
      </c>
      <c r="B70" t="s">
        <v>300</v>
      </c>
      <c r="C70" s="170">
        <v>51</v>
      </c>
      <c r="D70" s="170">
        <v>21</v>
      </c>
      <c r="E70" s="170">
        <v>15</v>
      </c>
      <c r="F70" s="170">
        <v>15</v>
      </c>
      <c r="G70" s="120" t="s">
        <v>1028</v>
      </c>
      <c r="H70" s="120">
        <v>14</v>
      </c>
      <c r="I70" s="113">
        <v>0.14000000059604645</v>
      </c>
      <c r="J70" s="179">
        <v>12</v>
      </c>
      <c r="K70" s="172">
        <v>0.82999998331069946</v>
      </c>
      <c r="L70" s="146">
        <v>9.1723665595054626E-2</v>
      </c>
      <c r="M70" s="66" t="str">
        <f t="shared" si="3"/>
        <v>RVY</v>
      </c>
      <c r="N70" s="185">
        <v>46</v>
      </c>
      <c r="O70" s="187">
        <v>0.52</v>
      </c>
      <c r="P70" s="187">
        <v>0.98</v>
      </c>
      <c r="Q70" s="187">
        <f t="shared" si="4"/>
        <v>0.30999998331069945</v>
      </c>
      <c r="R70" s="188">
        <f t="shared" si="5"/>
        <v>0.15000001668930052</v>
      </c>
      <c r="S70" s="65"/>
      <c r="T70" s="66"/>
      <c r="U70" s="65"/>
      <c r="V70" s="66"/>
      <c r="X70" s="39"/>
      <c r="Z70" s="67"/>
      <c r="AA70" s="71"/>
      <c r="AB70" s="66"/>
      <c r="AC70" s="66"/>
      <c r="AD70" s="69"/>
      <c r="AE70" s="39"/>
      <c r="AF70" s="39"/>
      <c r="AG70" s="48"/>
      <c r="AH70" s="48"/>
    </row>
    <row r="71" spans="1:34" x14ac:dyDescent="0.25">
      <c r="A71" t="s">
        <v>47</v>
      </c>
      <c r="B71" t="s">
        <v>48</v>
      </c>
      <c r="C71" s="170">
        <v>448</v>
      </c>
      <c r="D71" s="170">
        <v>148</v>
      </c>
      <c r="E71" s="170">
        <v>163</v>
      </c>
      <c r="F71" s="170">
        <v>137</v>
      </c>
      <c r="G71" s="120" t="s">
        <v>1029</v>
      </c>
      <c r="H71" s="120">
        <v>133</v>
      </c>
      <c r="I71" s="113">
        <v>7.9999998211860657E-2</v>
      </c>
      <c r="J71" s="180">
        <v>96</v>
      </c>
      <c r="K71" s="172">
        <v>0.23999999463558197</v>
      </c>
      <c r="L71" s="146">
        <v>2.167116105556488E-2</v>
      </c>
      <c r="M71" s="66" t="str">
        <f t="shared" si="3"/>
        <v>RJ7</v>
      </c>
      <c r="N71" s="185">
        <v>7</v>
      </c>
      <c r="O71" s="187">
        <v>0.16</v>
      </c>
      <c r="P71" s="187">
        <v>0.34</v>
      </c>
      <c r="Q71" s="187">
        <f t="shared" si="4"/>
        <v>7.9999994635581967E-2</v>
      </c>
      <c r="R71" s="188">
        <f t="shared" si="5"/>
        <v>0.10000000536441805</v>
      </c>
      <c r="S71" s="65"/>
      <c r="T71" s="66"/>
      <c r="U71" s="65"/>
      <c r="V71" s="66"/>
      <c r="Z71" s="66"/>
      <c r="AA71" s="72"/>
      <c r="AB71" s="66"/>
      <c r="AC71" s="66"/>
      <c r="AD71" s="69"/>
      <c r="AE71" s="39"/>
      <c r="AF71" s="39"/>
      <c r="AG71" s="48"/>
      <c r="AH71" s="48"/>
    </row>
    <row r="72" spans="1:34" x14ac:dyDescent="0.25">
      <c r="A72" t="s">
        <v>20</v>
      </c>
      <c r="B72" t="s">
        <v>21</v>
      </c>
      <c r="C72" s="170">
        <v>111</v>
      </c>
      <c r="D72" s="170">
        <v>17</v>
      </c>
      <c r="E72" s="170">
        <v>43</v>
      </c>
      <c r="F72" s="170">
        <v>51</v>
      </c>
      <c r="G72" s="120" t="s">
        <v>1001</v>
      </c>
      <c r="H72" s="120">
        <v>49</v>
      </c>
      <c r="I72" s="113">
        <v>3.9999999105930328E-2</v>
      </c>
      <c r="J72" s="180">
        <v>45</v>
      </c>
      <c r="K72" s="172">
        <v>0.87000000476837158</v>
      </c>
      <c r="L72" s="146">
        <v>3.5030264407396317E-2</v>
      </c>
      <c r="M72" s="66" t="str">
        <f t="shared" si="3"/>
        <v>RBN</v>
      </c>
      <c r="N72" s="185">
        <v>50</v>
      </c>
      <c r="O72" s="187">
        <v>0.73</v>
      </c>
      <c r="P72" s="187">
        <v>0.95</v>
      </c>
      <c r="Q72" s="187">
        <f t="shared" si="4"/>
        <v>0.1400000047683716</v>
      </c>
      <c r="R72" s="188">
        <f t="shared" si="5"/>
        <v>7.9999995231628374E-2</v>
      </c>
      <c r="S72" s="65"/>
      <c r="T72" s="66"/>
      <c r="U72" s="65"/>
      <c r="V72" s="66"/>
      <c r="X72" s="39"/>
      <c r="Y72" s="39"/>
      <c r="Z72" s="67"/>
      <c r="AA72" s="71"/>
      <c r="AB72" s="66"/>
      <c r="AC72" s="66"/>
      <c r="AD72" s="69"/>
      <c r="AE72" s="39"/>
      <c r="AF72" s="39"/>
      <c r="AG72" s="48"/>
      <c r="AH72" s="48"/>
    </row>
    <row r="73" spans="1:34" x14ac:dyDescent="0.25">
      <c r="A73" t="s">
        <v>301</v>
      </c>
      <c r="B73" t="s">
        <v>302</v>
      </c>
      <c r="C73" s="170">
        <v>175</v>
      </c>
      <c r="D73" s="170">
        <v>51</v>
      </c>
      <c r="E73" s="170">
        <v>68</v>
      </c>
      <c r="F73" s="170">
        <v>56</v>
      </c>
      <c r="G73" s="120" t="s">
        <v>1001</v>
      </c>
      <c r="H73" s="120">
        <v>55</v>
      </c>
      <c r="I73" s="113">
        <v>0.12999999523162842</v>
      </c>
      <c r="J73" s="180">
        <v>42</v>
      </c>
      <c r="K73" s="172">
        <v>1</v>
      </c>
      <c r="L73" s="146">
        <v>2.5922898203134537E-2</v>
      </c>
      <c r="M73" s="66" t="str">
        <f t="shared" si="3"/>
        <v>RTP</v>
      </c>
      <c r="N73" s="185">
        <v>58</v>
      </c>
      <c r="O73" s="187">
        <v>0.92</v>
      </c>
      <c r="P73" s="187">
        <v>1</v>
      </c>
      <c r="Q73" s="187">
        <f t="shared" si="4"/>
        <v>7.999999999999996E-2</v>
      </c>
      <c r="R73" s="188">
        <f t="shared" si="5"/>
        <v>0</v>
      </c>
      <c r="S73" s="65"/>
      <c r="T73" s="66"/>
      <c r="U73" s="65"/>
      <c r="V73" s="66"/>
      <c r="X73" s="39"/>
      <c r="Z73" s="67"/>
      <c r="AA73" s="71"/>
      <c r="AB73" s="66"/>
      <c r="AC73" s="66"/>
      <c r="AD73" s="69"/>
      <c r="AE73" s="39"/>
      <c r="AF73" s="39"/>
      <c r="AG73" s="48"/>
      <c r="AH73" s="48"/>
    </row>
    <row r="74" spans="1:34" x14ac:dyDescent="0.25">
      <c r="A74" t="s">
        <v>2</v>
      </c>
      <c r="B74" t="s">
        <v>158</v>
      </c>
      <c r="C74" s="170">
        <v>436</v>
      </c>
      <c r="D74" s="170">
        <v>86</v>
      </c>
      <c r="E74" s="170">
        <v>189</v>
      </c>
      <c r="F74" s="170">
        <v>161</v>
      </c>
      <c r="G74" s="120" t="s">
        <v>1030</v>
      </c>
      <c r="H74" s="120">
        <v>151</v>
      </c>
      <c r="I74" s="113">
        <v>0.18999999761581421</v>
      </c>
      <c r="J74" s="180">
        <v>38</v>
      </c>
      <c r="K74" s="172">
        <v>0.75999999046325684</v>
      </c>
      <c r="L74" s="146">
        <v>2.6073887944221497E-2</v>
      </c>
      <c r="M74" s="66" t="str">
        <f t="shared" si="3"/>
        <v>7A3</v>
      </c>
      <c r="N74" s="185">
        <v>39</v>
      </c>
      <c r="O74" s="187">
        <v>0.6</v>
      </c>
      <c r="P74" s="187">
        <v>0.89</v>
      </c>
      <c r="Q74" s="187">
        <f t="shared" si="4"/>
        <v>0.15999999046325686</v>
      </c>
      <c r="R74" s="188">
        <f t="shared" si="5"/>
        <v>0.13000000953674318</v>
      </c>
      <c r="S74" s="65"/>
      <c r="T74" s="66"/>
      <c r="U74" s="65"/>
      <c r="V74" s="66"/>
      <c r="Z74" s="66"/>
      <c r="AA74" s="72"/>
      <c r="AB74" s="66"/>
      <c r="AC74" s="66"/>
      <c r="AD74" s="69"/>
      <c r="AE74" s="39"/>
      <c r="AF74" s="39"/>
      <c r="AG74" s="48"/>
      <c r="AH74" s="48"/>
    </row>
    <row r="75" spans="1:34" x14ac:dyDescent="0.25">
      <c r="A75" t="s">
        <v>64</v>
      </c>
      <c r="B75" t="s">
        <v>65</v>
      </c>
      <c r="C75" s="170">
        <v>327</v>
      </c>
      <c r="D75" s="170">
        <v>114</v>
      </c>
      <c r="E75" s="170">
        <v>78</v>
      </c>
      <c r="F75" s="170">
        <v>135</v>
      </c>
      <c r="G75" s="120" t="s">
        <v>1014</v>
      </c>
      <c r="H75" s="120">
        <v>134</v>
      </c>
      <c r="I75" s="113">
        <v>3.9999999105930328E-2</v>
      </c>
      <c r="J75" s="180">
        <v>79</v>
      </c>
      <c r="K75" s="172">
        <v>0.75</v>
      </c>
      <c r="L75" s="146">
        <v>3.0594194307923317E-2</v>
      </c>
      <c r="M75" s="66" t="str">
        <f t="shared" si="3"/>
        <v>RNA</v>
      </c>
      <c r="N75" s="185">
        <v>38</v>
      </c>
      <c r="O75" s="187">
        <v>0.64</v>
      </c>
      <c r="P75" s="187">
        <v>0.84</v>
      </c>
      <c r="Q75" s="187">
        <f t="shared" si="4"/>
        <v>0.10999999999999999</v>
      </c>
      <c r="R75" s="188">
        <f t="shared" si="5"/>
        <v>8.9999999999999969E-2</v>
      </c>
      <c r="S75" s="65"/>
      <c r="T75" s="66"/>
      <c r="U75" s="65"/>
      <c r="V75" s="66"/>
      <c r="Z75" s="66"/>
      <c r="AA75" s="72"/>
      <c r="AB75" s="66"/>
      <c r="AC75" s="66"/>
      <c r="AD75" s="69"/>
      <c r="AE75" s="39"/>
      <c r="AF75" s="39"/>
      <c r="AG75" s="48"/>
      <c r="AH75" s="48"/>
    </row>
    <row r="76" spans="1:34" x14ac:dyDescent="0.25">
      <c r="A76" t="s">
        <v>13</v>
      </c>
      <c r="B76" t="s">
        <v>14</v>
      </c>
      <c r="C76" s="170">
        <v>0</v>
      </c>
      <c r="D76" s="170">
        <v>0</v>
      </c>
      <c r="E76" s="170">
        <v>0</v>
      </c>
      <c r="F76" s="170">
        <v>0</v>
      </c>
      <c r="G76" s="95" t="s">
        <v>220</v>
      </c>
      <c r="H76" s="95" t="s">
        <v>220</v>
      </c>
      <c r="I76" s="95" t="s">
        <v>220</v>
      </c>
      <c r="J76" s="179">
        <v>0</v>
      </c>
      <c r="K76" s="95" t="s">
        <v>220</v>
      </c>
      <c r="L76" s="95" t="s">
        <v>220</v>
      </c>
      <c r="M76" s="66" t="str">
        <f t="shared" si="3"/>
        <v>RA9</v>
      </c>
      <c r="N76" s="185" t="e">
        <v>#N/A</v>
      </c>
      <c r="O76" s="187" t="e">
        <v>#VALUE!</v>
      </c>
      <c r="P76" s="187" t="e">
        <v>#VALUE!</v>
      </c>
      <c r="Q76" s="187" t="e">
        <f t="shared" si="4"/>
        <v>#VALUE!</v>
      </c>
      <c r="R76" s="188" t="e">
        <f t="shared" si="5"/>
        <v>#VALUE!</v>
      </c>
      <c r="S76" s="65"/>
      <c r="T76" s="66"/>
      <c r="U76" s="65"/>
      <c r="V76" s="66"/>
      <c r="Z76" s="66"/>
      <c r="AA76" s="72"/>
      <c r="AB76" s="66"/>
      <c r="AC76" s="66"/>
      <c r="AD76" s="69"/>
      <c r="AE76" s="39"/>
      <c r="AF76" s="39"/>
      <c r="AG76" s="48"/>
      <c r="AH76" s="48"/>
    </row>
    <row r="77" spans="1:34" x14ac:dyDescent="0.25">
      <c r="A77" t="s">
        <v>97</v>
      </c>
      <c r="B77" t="s">
        <v>98</v>
      </c>
      <c r="C77" s="170">
        <v>425</v>
      </c>
      <c r="D77" s="170">
        <v>140</v>
      </c>
      <c r="E77" s="170">
        <v>140</v>
      </c>
      <c r="F77" s="170">
        <v>145</v>
      </c>
      <c r="G77" s="120" t="s">
        <v>1031</v>
      </c>
      <c r="H77" s="120">
        <v>145</v>
      </c>
      <c r="I77" s="113">
        <v>9.9999997764825821E-3</v>
      </c>
      <c r="J77" s="180">
        <v>90</v>
      </c>
      <c r="K77" s="172">
        <v>0.51999998092651367</v>
      </c>
      <c r="L77" s="146">
        <v>6.7539387382566929E-3</v>
      </c>
      <c r="M77" s="66" t="str">
        <f t="shared" si="3"/>
        <v>RWD</v>
      </c>
      <c r="N77" s="185">
        <v>17</v>
      </c>
      <c r="O77" s="187">
        <v>0.41</v>
      </c>
      <c r="P77" s="187">
        <v>0.63</v>
      </c>
      <c r="Q77" s="187">
        <f t="shared" si="4"/>
        <v>0.1099999809265137</v>
      </c>
      <c r="R77" s="188">
        <f t="shared" si="5"/>
        <v>0.11000001907348633</v>
      </c>
      <c r="S77" s="65"/>
      <c r="T77" s="66"/>
      <c r="U77" s="65"/>
      <c r="V77" s="66"/>
      <c r="X77" s="39"/>
      <c r="Y77" s="39"/>
      <c r="Z77" s="67"/>
      <c r="AA77" s="71"/>
      <c r="AB77" s="66"/>
      <c r="AC77" s="66"/>
      <c r="AD77" s="69"/>
      <c r="AE77" s="39"/>
      <c r="AF77" s="39"/>
      <c r="AG77" s="48"/>
      <c r="AH77" s="48"/>
    </row>
    <row r="78" spans="1:34" x14ac:dyDescent="0.25">
      <c r="A78" t="s">
        <v>79</v>
      </c>
      <c r="B78" t="s">
        <v>80</v>
      </c>
      <c r="C78" s="170">
        <v>45</v>
      </c>
      <c r="D78" s="170">
        <v>26</v>
      </c>
      <c r="E78" s="170">
        <v>19</v>
      </c>
      <c r="F78" s="170">
        <v>0</v>
      </c>
      <c r="G78" s="95" t="s">
        <v>220</v>
      </c>
      <c r="H78" s="95" t="s">
        <v>220</v>
      </c>
      <c r="I78" s="95" t="s">
        <v>220</v>
      </c>
      <c r="J78" s="179">
        <v>0</v>
      </c>
      <c r="K78" s="95" t="s">
        <v>220</v>
      </c>
      <c r="L78" s="146">
        <v>0</v>
      </c>
      <c r="M78" s="66" t="str">
        <f t="shared" si="3"/>
        <v>RRV</v>
      </c>
      <c r="N78" s="185" t="e">
        <v>#N/A</v>
      </c>
      <c r="O78" s="187" t="e">
        <v>#VALUE!</v>
      </c>
      <c r="P78" s="187" t="e">
        <v>#VALUE!</v>
      </c>
      <c r="Q78" s="187" t="e">
        <f t="shared" si="4"/>
        <v>#VALUE!</v>
      </c>
      <c r="R78" s="188" t="e">
        <f t="shared" si="5"/>
        <v>#VALUE!</v>
      </c>
      <c r="S78" s="65"/>
      <c r="T78" s="66"/>
      <c r="U78" s="65"/>
      <c r="V78" s="66"/>
      <c r="Z78" s="66"/>
      <c r="AA78" s="72"/>
      <c r="AB78" s="66"/>
      <c r="AC78" s="66"/>
      <c r="AD78" s="69"/>
      <c r="AE78" s="39"/>
      <c r="AF78" s="39"/>
      <c r="AG78" s="48"/>
      <c r="AH78" s="48"/>
    </row>
    <row r="79" spans="1:34" x14ac:dyDescent="0.25">
      <c r="A79" t="s">
        <v>49</v>
      </c>
      <c r="B79" t="s">
        <v>50</v>
      </c>
      <c r="C79" s="170">
        <v>653</v>
      </c>
      <c r="D79" s="170">
        <v>230</v>
      </c>
      <c r="E79" s="170">
        <v>206</v>
      </c>
      <c r="F79" s="170">
        <v>217</v>
      </c>
      <c r="G79" s="120" t="s">
        <v>1032</v>
      </c>
      <c r="H79" s="120">
        <v>210</v>
      </c>
      <c r="I79" s="113">
        <v>0.18999999761581421</v>
      </c>
      <c r="J79" s="180">
        <v>110</v>
      </c>
      <c r="K79" s="172">
        <v>0.70999997854232788</v>
      </c>
      <c r="L79" s="146">
        <v>1.9349293783307076E-2</v>
      </c>
      <c r="M79" s="66" t="str">
        <f t="shared" si="3"/>
        <v>RJE</v>
      </c>
      <c r="N79" s="185">
        <v>33</v>
      </c>
      <c r="O79" s="187">
        <v>0.61</v>
      </c>
      <c r="P79" s="187">
        <v>0.79</v>
      </c>
      <c r="Q79" s="187">
        <f t="shared" si="4"/>
        <v>9.9999978542327894E-2</v>
      </c>
      <c r="R79" s="188">
        <f t="shared" si="5"/>
        <v>8.0000021457672155E-2</v>
      </c>
      <c r="S79" s="65"/>
      <c r="T79" s="66"/>
      <c r="U79" s="65"/>
      <c r="V79" s="66"/>
      <c r="X79" s="39"/>
      <c r="Z79" s="67"/>
      <c r="AA79" s="71"/>
      <c r="AB79" s="66"/>
      <c r="AC79" s="66"/>
      <c r="AD79" s="69"/>
      <c r="AE79" s="39"/>
      <c r="AF79" s="39"/>
      <c r="AG79" s="48"/>
      <c r="AH79" s="48"/>
    </row>
    <row r="80" spans="1:34" x14ac:dyDescent="0.25">
      <c r="A80" t="s">
        <v>39</v>
      </c>
      <c r="B80" t="s">
        <v>40</v>
      </c>
      <c r="C80" s="170">
        <v>148</v>
      </c>
      <c r="D80" s="170">
        <v>103</v>
      </c>
      <c r="E80" s="170">
        <v>14</v>
      </c>
      <c r="F80" s="170">
        <v>31</v>
      </c>
      <c r="G80" s="120" t="s">
        <v>1033</v>
      </c>
      <c r="H80" s="120">
        <v>31</v>
      </c>
      <c r="I80" s="113">
        <v>0.15999999642372131</v>
      </c>
      <c r="J80" s="180">
        <v>2</v>
      </c>
      <c r="K80" s="172" t="s">
        <v>227</v>
      </c>
      <c r="L80" s="146">
        <v>0</v>
      </c>
      <c r="M80" s="66" t="str">
        <f t="shared" si="3"/>
        <v>RHM</v>
      </c>
      <c r="N80" s="185" t="e">
        <v>#N/A</v>
      </c>
      <c r="O80" s="187">
        <v>0</v>
      </c>
      <c r="P80" s="187">
        <v>0.84</v>
      </c>
      <c r="Q80" s="187" t="e">
        <f t="shared" si="4"/>
        <v>#VALUE!</v>
      </c>
      <c r="R80" s="188" t="e">
        <f t="shared" si="5"/>
        <v>#VALUE!</v>
      </c>
      <c r="S80" s="65"/>
      <c r="T80" s="66"/>
      <c r="U80" s="65"/>
      <c r="V80" s="66"/>
      <c r="X80" s="39"/>
      <c r="Y80" s="39"/>
      <c r="Z80" s="66"/>
      <c r="AA80" s="72"/>
      <c r="AB80" s="66"/>
      <c r="AC80" s="66"/>
      <c r="AD80" s="69"/>
      <c r="AE80" s="39"/>
      <c r="AF80" s="39"/>
      <c r="AG80" s="48"/>
      <c r="AH80" s="48"/>
    </row>
    <row r="81" spans="1:34" x14ac:dyDescent="0.25">
      <c r="A81" t="s">
        <v>360</v>
      </c>
      <c r="B81" t="s">
        <v>361</v>
      </c>
      <c r="C81" s="170">
        <v>139</v>
      </c>
      <c r="D81" s="170">
        <v>0</v>
      </c>
      <c r="E81" s="170">
        <v>0</v>
      </c>
      <c r="F81" s="170">
        <v>139</v>
      </c>
      <c r="G81" s="120" t="s">
        <v>1034</v>
      </c>
      <c r="H81" s="120">
        <v>138</v>
      </c>
      <c r="I81" s="113">
        <v>0.20999999344348907</v>
      </c>
      <c r="J81" s="180">
        <v>100</v>
      </c>
      <c r="K81" s="172">
        <v>0.38999998569488525</v>
      </c>
      <c r="L81" s="146">
        <v>7.6359109953045845E-3</v>
      </c>
      <c r="M81" s="66" t="str">
        <f t="shared" si="3"/>
        <v>RYR</v>
      </c>
      <c r="N81" s="185">
        <v>9</v>
      </c>
      <c r="O81" s="187">
        <v>0.28999999999999998</v>
      </c>
      <c r="P81" s="187">
        <v>0.49</v>
      </c>
      <c r="Q81" s="187">
        <f t="shared" si="4"/>
        <v>9.9999985694885274E-2</v>
      </c>
      <c r="R81" s="188">
        <f t="shared" si="5"/>
        <v>0.10000001430511474</v>
      </c>
      <c r="S81" s="65"/>
      <c r="T81" s="66"/>
      <c r="U81" s="65"/>
      <c r="V81" s="66"/>
      <c r="Z81" s="66"/>
      <c r="AA81" s="72"/>
      <c r="AB81" s="66"/>
      <c r="AC81" s="66"/>
      <c r="AD81" s="69"/>
      <c r="AE81" s="39"/>
      <c r="AF81" s="39"/>
      <c r="AG81" s="48"/>
      <c r="AH81" s="48"/>
    </row>
    <row r="82" spans="1:34" x14ac:dyDescent="0.25">
      <c r="A82" t="s">
        <v>77</v>
      </c>
      <c r="B82" t="s">
        <v>78</v>
      </c>
      <c r="C82" s="170">
        <v>834</v>
      </c>
      <c r="D82" s="170">
        <v>291</v>
      </c>
      <c r="E82" s="170">
        <v>320</v>
      </c>
      <c r="F82" s="170">
        <v>223</v>
      </c>
      <c r="G82" s="120" t="s">
        <v>1017</v>
      </c>
      <c r="H82" s="120">
        <v>210</v>
      </c>
      <c r="I82" s="113">
        <v>7.9999998211860657E-2</v>
      </c>
      <c r="J82" s="180">
        <v>114</v>
      </c>
      <c r="K82" s="172">
        <v>0.61000001430511475</v>
      </c>
      <c r="L82" s="146">
        <v>1.5150552615523338E-2</v>
      </c>
      <c r="M82" s="66" t="str">
        <f t="shared" si="3"/>
        <v>RRK</v>
      </c>
      <c r="N82" s="185">
        <v>22</v>
      </c>
      <c r="O82" s="187">
        <v>0.52</v>
      </c>
      <c r="P82" s="187">
        <v>0.7</v>
      </c>
      <c r="Q82" s="187">
        <f t="shared" si="4"/>
        <v>9.0000014305114728E-2</v>
      </c>
      <c r="R82" s="188">
        <f t="shared" si="5"/>
        <v>8.9999985694885209E-2</v>
      </c>
      <c r="S82" s="65"/>
      <c r="T82" s="66"/>
      <c r="U82" s="65"/>
      <c r="V82" s="66"/>
      <c r="X82" s="39"/>
      <c r="Y82" s="39"/>
      <c r="Z82" s="66"/>
      <c r="AA82" s="72"/>
      <c r="AB82" s="66"/>
      <c r="AC82" s="66"/>
      <c r="AD82" s="69"/>
      <c r="AE82" s="39"/>
      <c r="AF82" s="39"/>
      <c r="AG82" s="48"/>
      <c r="AH82" s="48"/>
    </row>
    <row r="83" spans="1:34" x14ac:dyDescent="0.25">
      <c r="A83" t="s">
        <v>56</v>
      </c>
      <c r="B83" t="s">
        <v>57</v>
      </c>
      <c r="C83" s="170">
        <v>181</v>
      </c>
      <c r="D83" s="170">
        <v>48</v>
      </c>
      <c r="E83" s="170">
        <v>74</v>
      </c>
      <c r="F83" s="170">
        <v>59</v>
      </c>
      <c r="G83" s="120" t="s">
        <v>1035</v>
      </c>
      <c r="H83" s="120">
        <v>58</v>
      </c>
      <c r="I83" s="113">
        <v>0.23999999463558197</v>
      </c>
      <c r="J83" s="180">
        <v>16</v>
      </c>
      <c r="K83" s="172">
        <v>0.68999999761581421</v>
      </c>
      <c r="L83" s="146">
        <v>1.2342244386672974E-2</v>
      </c>
      <c r="M83" s="66" t="str">
        <f t="shared" si="3"/>
        <v>RKB</v>
      </c>
      <c r="N83" s="185">
        <v>31</v>
      </c>
      <c r="O83" s="187">
        <v>0.41</v>
      </c>
      <c r="P83" s="187">
        <v>0.89</v>
      </c>
      <c r="Q83" s="187">
        <f t="shared" si="4"/>
        <v>0.27999999761581423</v>
      </c>
      <c r="R83" s="188">
        <f t="shared" si="5"/>
        <v>0.2000000023841858</v>
      </c>
      <c r="S83" s="65"/>
      <c r="T83" s="66"/>
      <c r="U83" s="65"/>
      <c r="V83" s="66"/>
      <c r="X83" s="39"/>
      <c r="Y83" s="39"/>
      <c r="Z83" s="67"/>
      <c r="AA83" s="71"/>
      <c r="AB83" s="66"/>
      <c r="AC83" s="66"/>
      <c r="AD83" s="69"/>
      <c r="AE83" s="39"/>
      <c r="AF83" s="39"/>
      <c r="AG83" s="48"/>
      <c r="AH83" s="48"/>
    </row>
    <row r="84" spans="1:34" x14ac:dyDescent="0.25">
      <c r="A84" t="s">
        <v>336</v>
      </c>
      <c r="B84" t="s">
        <v>337</v>
      </c>
      <c r="C84" s="170">
        <v>51</v>
      </c>
      <c r="D84" s="170">
        <v>2</v>
      </c>
      <c r="E84" s="170">
        <v>0</v>
      </c>
      <c r="F84" s="170">
        <v>49</v>
      </c>
      <c r="G84" s="120" t="s">
        <v>996</v>
      </c>
      <c r="H84" s="120">
        <v>49</v>
      </c>
      <c r="I84" s="113">
        <v>1.9999999552965164E-2</v>
      </c>
      <c r="J84" s="179">
        <v>48</v>
      </c>
      <c r="K84" s="172">
        <v>0.51999998092651367</v>
      </c>
      <c r="L84" s="146">
        <v>0</v>
      </c>
      <c r="M84" s="66" t="str">
        <f t="shared" si="3"/>
        <v>R0D</v>
      </c>
      <c r="N84" s="185">
        <v>15</v>
      </c>
      <c r="O84" s="187">
        <v>0.37</v>
      </c>
      <c r="P84" s="187">
        <v>0.67</v>
      </c>
      <c r="Q84" s="187">
        <f t="shared" si="4"/>
        <v>0.14999998092651368</v>
      </c>
      <c r="R84" s="188">
        <f t="shared" si="5"/>
        <v>0.15000001907348637</v>
      </c>
      <c r="S84" s="65"/>
      <c r="T84" s="66"/>
      <c r="U84" s="65"/>
      <c r="V84" s="66"/>
      <c r="Z84" s="66"/>
      <c r="AA84" s="72"/>
      <c r="AB84" s="66"/>
      <c r="AC84" s="66"/>
      <c r="AD84" s="69"/>
      <c r="AE84" s="39"/>
      <c r="AF84" s="39"/>
      <c r="AG84" s="48"/>
      <c r="AH84" s="48"/>
    </row>
    <row r="85" spans="1:34" x14ac:dyDescent="0.25">
      <c r="A85" t="s">
        <v>87</v>
      </c>
      <c r="B85" t="s">
        <v>228</v>
      </c>
      <c r="C85" s="170">
        <v>805</v>
      </c>
      <c r="D85" s="170">
        <v>270</v>
      </c>
      <c r="E85" s="170">
        <v>276</v>
      </c>
      <c r="F85" s="170">
        <v>259</v>
      </c>
      <c r="G85" s="120" t="s">
        <v>1036</v>
      </c>
      <c r="H85" s="120">
        <v>254</v>
      </c>
      <c r="I85" s="113">
        <v>0.14000000059604645</v>
      </c>
      <c r="J85" s="180">
        <v>132</v>
      </c>
      <c r="K85" s="172">
        <v>0.54000002145767212</v>
      </c>
      <c r="L85" s="146">
        <v>1.4111979864537716E-2</v>
      </c>
      <c r="M85" s="66" t="str">
        <f t="shared" si="3"/>
        <v>RTG</v>
      </c>
      <c r="N85" s="185">
        <v>21</v>
      </c>
      <c r="O85" s="187">
        <v>0.45</v>
      </c>
      <c r="P85" s="187">
        <v>0.62</v>
      </c>
      <c r="Q85" s="187">
        <f t="shared" si="4"/>
        <v>9.0000021457672108E-2</v>
      </c>
      <c r="R85" s="188">
        <f t="shared" si="5"/>
        <v>7.9999978542327876E-2</v>
      </c>
      <c r="S85" s="65"/>
      <c r="T85" s="66"/>
      <c r="U85" s="65"/>
      <c r="V85" s="66"/>
      <c r="Z85" s="66"/>
      <c r="AA85" s="72"/>
      <c r="AB85" s="66"/>
      <c r="AC85" s="66"/>
      <c r="AD85" s="69"/>
      <c r="AE85" s="39"/>
      <c r="AF85" s="39"/>
      <c r="AG85" s="48"/>
      <c r="AH85" s="48"/>
    </row>
    <row r="86" spans="1:34" x14ac:dyDescent="0.25">
      <c r="A86" t="s">
        <v>99</v>
      </c>
      <c r="B86" t="s">
        <v>100</v>
      </c>
      <c r="C86" s="170">
        <v>450</v>
      </c>
      <c r="D86" s="170">
        <v>193</v>
      </c>
      <c r="E86" s="170">
        <v>208</v>
      </c>
      <c r="F86" s="170">
        <v>49</v>
      </c>
      <c r="G86" s="120" t="s">
        <v>702</v>
      </c>
      <c r="H86" s="120">
        <v>47</v>
      </c>
      <c r="I86" s="113">
        <v>1.9999999552965164E-2</v>
      </c>
      <c r="J86" s="180">
        <v>24</v>
      </c>
      <c r="K86" s="172">
        <v>0.17000000178813934</v>
      </c>
      <c r="L86" s="146">
        <v>1.9950717687606812E-2</v>
      </c>
      <c r="M86" s="66" t="str">
        <f t="shared" si="3"/>
        <v>RWE</v>
      </c>
      <c r="N86" s="185">
        <v>6</v>
      </c>
      <c r="O86" s="187">
        <v>0.05</v>
      </c>
      <c r="P86" s="187">
        <v>0.37</v>
      </c>
      <c r="Q86" s="187">
        <f t="shared" si="4"/>
        <v>0.12000000178813934</v>
      </c>
      <c r="R86" s="188">
        <f t="shared" si="5"/>
        <v>0.19999999821186065</v>
      </c>
      <c r="S86" s="65"/>
      <c r="T86" s="66"/>
      <c r="U86" s="65"/>
      <c r="V86" s="66"/>
      <c r="X86" s="39"/>
      <c r="Y86" s="39"/>
      <c r="Z86" s="67"/>
      <c r="AA86" s="71"/>
      <c r="AB86" s="66"/>
      <c r="AC86" s="66"/>
      <c r="AD86" s="69"/>
      <c r="AE86" s="39"/>
      <c r="AF86" s="39"/>
      <c r="AG86" s="48"/>
      <c r="AH86" s="48"/>
    </row>
    <row r="87" spans="1:34" x14ac:dyDescent="0.25">
      <c r="A87" t="s">
        <v>55</v>
      </c>
      <c r="B87" t="s">
        <v>159</v>
      </c>
      <c r="C87" s="170">
        <v>8</v>
      </c>
      <c r="D87" s="170">
        <v>8</v>
      </c>
      <c r="E87" s="170">
        <v>0</v>
      </c>
      <c r="F87" s="170">
        <v>0</v>
      </c>
      <c r="G87" s="95" t="s">
        <v>220</v>
      </c>
      <c r="H87" s="95" t="s">
        <v>220</v>
      </c>
      <c r="I87" s="95" t="s">
        <v>220</v>
      </c>
      <c r="J87" s="179">
        <v>0</v>
      </c>
      <c r="K87" s="95" t="s">
        <v>220</v>
      </c>
      <c r="L87" s="146">
        <v>0</v>
      </c>
      <c r="M87" s="66" t="str">
        <f t="shared" si="3"/>
        <v>RK9</v>
      </c>
      <c r="N87" s="185" t="e">
        <v>#N/A</v>
      </c>
      <c r="O87" s="187" t="e">
        <v>#VALUE!</v>
      </c>
      <c r="P87" s="187" t="e">
        <v>#VALUE!</v>
      </c>
      <c r="Q87" s="187" t="e">
        <f t="shared" si="4"/>
        <v>#VALUE!</v>
      </c>
      <c r="R87" s="188" t="e">
        <f t="shared" si="5"/>
        <v>#VALUE!</v>
      </c>
      <c r="S87" s="65"/>
      <c r="T87" s="66"/>
      <c r="U87" s="65"/>
      <c r="V87" s="66"/>
      <c r="X87" s="39"/>
      <c r="Z87" s="67"/>
      <c r="AA87" s="71"/>
      <c r="AB87" s="66"/>
      <c r="AC87" s="66"/>
      <c r="AD87" s="69"/>
      <c r="AE87" s="39"/>
      <c r="AF87" s="39"/>
      <c r="AG87" s="48"/>
      <c r="AH87" s="48"/>
    </row>
    <row r="88" spans="1:34" x14ac:dyDescent="0.25">
      <c r="A88" t="s">
        <v>101</v>
      </c>
      <c r="B88" t="s">
        <v>452</v>
      </c>
      <c r="C88" s="170">
        <v>31</v>
      </c>
      <c r="D88" s="170">
        <v>17</v>
      </c>
      <c r="E88" s="170">
        <v>8</v>
      </c>
      <c r="F88" s="170">
        <v>6</v>
      </c>
      <c r="G88" s="120" t="s">
        <v>1037</v>
      </c>
      <c r="H88" s="120">
        <v>6</v>
      </c>
      <c r="I88" s="113">
        <v>0</v>
      </c>
      <c r="J88" s="179">
        <v>5</v>
      </c>
      <c r="K88" s="172" t="s">
        <v>227</v>
      </c>
      <c r="L88" s="146">
        <v>3.4164164215326309E-2</v>
      </c>
      <c r="M88" s="66" t="str">
        <f t="shared" si="3"/>
        <v>RWG</v>
      </c>
      <c r="N88" s="185" t="e">
        <v>#N/A</v>
      </c>
      <c r="O88" s="187">
        <v>0.05</v>
      </c>
      <c r="P88" s="187">
        <v>0.85</v>
      </c>
      <c r="Q88" s="187" t="e">
        <f t="shared" si="4"/>
        <v>#VALUE!</v>
      </c>
      <c r="R88" s="188" t="e">
        <f t="shared" si="5"/>
        <v>#VALUE!</v>
      </c>
      <c r="S88" s="65"/>
      <c r="T88" s="66"/>
      <c r="U88" s="65"/>
      <c r="V88" s="66"/>
      <c r="X88" s="39"/>
      <c r="Y88" s="39"/>
      <c r="Z88" s="66"/>
      <c r="AA88" s="72"/>
      <c r="AB88" s="66"/>
      <c r="AC88" s="66"/>
      <c r="AD88" s="69"/>
      <c r="AE88" s="39"/>
      <c r="AF88" s="39"/>
      <c r="AG88" s="48"/>
      <c r="AH88" s="48"/>
    </row>
    <row r="89" spans="1:34" x14ac:dyDescent="0.25">
      <c r="A89" t="s">
        <v>33</v>
      </c>
      <c r="B89" t="s">
        <v>34</v>
      </c>
      <c r="C89" s="170">
        <v>2</v>
      </c>
      <c r="D89" s="170">
        <v>0</v>
      </c>
      <c r="E89" s="170">
        <v>2</v>
      </c>
      <c r="F89" s="170">
        <v>0</v>
      </c>
      <c r="G89" s="95" t="s">
        <v>220</v>
      </c>
      <c r="H89" s="95" t="s">
        <v>220</v>
      </c>
      <c r="I89" s="95" t="s">
        <v>220</v>
      </c>
      <c r="J89" s="179">
        <v>0</v>
      </c>
      <c r="K89" s="95" t="s">
        <v>220</v>
      </c>
      <c r="L89" s="146" t="s">
        <v>227</v>
      </c>
      <c r="M89" s="66" t="str">
        <f t="shared" si="3"/>
        <v>RGR</v>
      </c>
      <c r="N89" s="185" t="e">
        <v>#N/A</v>
      </c>
      <c r="O89" s="187" t="e">
        <v>#VALUE!</v>
      </c>
      <c r="P89" s="187" t="e">
        <v>#VALUE!</v>
      </c>
      <c r="Q89" s="187" t="e">
        <f t="shared" si="4"/>
        <v>#VALUE!</v>
      </c>
      <c r="R89" s="188" t="e">
        <f t="shared" si="5"/>
        <v>#VALUE!</v>
      </c>
      <c r="S89" s="65"/>
      <c r="T89" s="66"/>
      <c r="U89" s="65"/>
      <c r="V89" s="66"/>
      <c r="X89" s="39"/>
      <c r="Z89" s="66"/>
      <c r="AA89" s="72"/>
      <c r="AB89" s="66"/>
      <c r="AC89" s="66"/>
      <c r="AD89" s="69"/>
      <c r="AE89" s="39"/>
      <c r="AF89" s="39"/>
      <c r="AG89" s="48"/>
      <c r="AH89" s="48"/>
    </row>
    <row r="90" spans="1:34" x14ac:dyDescent="0.25">
      <c r="A90" t="s">
        <v>105</v>
      </c>
      <c r="B90" t="s">
        <v>106</v>
      </c>
      <c r="C90" s="170">
        <v>295</v>
      </c>
      <c r="D90" s="170">
        <v>125</v>
      </c>
      <c r="E90" s="170">
        <v>139</v>
      </c>
      <c r="F90" s="170">
        <v>31</v>
      </c>
      <c r="G90" s="120" t="s">
        <v>1038</v>
      </c>
      <c r="H90" s="120">
        <v>30</v>
      </c>
      <c r="I90" s="113">
        <v>0.20000000298023224</v>
      </c>
      <c r="J90" s="180">
        <v>12</v>
      </c>
      <c r="K90" s="172">
        <v>0</v>
      </c>
      <c r="L90" s="146">
        <v>1.9228912889957428E-2</v>
      </c>
      <c r="M90" s="66" t="str">
        <f t="shared" si="3"/>
        <v>RWP</v>
      </c>
      <c r="N90" s="185">
        <v>1</v>
      </c>
      <c r="O90" s="187">
        <v>0</v>
      </c>
      <c r="P90" s="187">
        <v>0.26</v>
      </c>
      <c r="Q90" s="187">
        <f t="shared" si="4"/>
        <v>0</v>
      </c>
      <c r="R90" s="188">
        <f t="shared" si="5"/>
        <v>0.26</v>
      </c>
      <c r="S90" s="65"/>
      <c r="T90" s="66"/>
      <c r="U90" s="65"/>
      <c r="V90" s="66"/>
      <c r="X90" s="39"/>
      <c r="Z90" s="67"/>
      <c r="AA90" s="71"/>
      <c r="AB90" s="66"/>
      <c r="AC90" s="66"/>
      <c r="AD90" s="69"/>
      <c r="AE90" s="39"/>
      <c r="AF90" s="39"/>
      <c r="AG90" s="48"/>
      <c r="AH90" s="48"/>
    </row>
    <row r="91" spans="1:34" x14ac:dyDescent="0.25">
      <c r="A91" t="s">
        <v>303</v>
      </c>
      <c r="B91" t="s">
        <v>304</v>
      </c>
      <c r="C91" s="170">
        <v>197</v>
      </c>
      <c r="D91" s="170">
        <v>68</v>
      </c>
      <c r="E91" s="170">
        <v>68</v>
      </c>
      <c r="F91" s="170">
        <v>61</v>
      </c>
      <c r="G91" s="120" t="s">
        <v>1001</v>
      </c>
      <c r="H91" s="120">
        <v>61</v>
      </c>
      <c r="I91" s="113">
        <v>0.10000000149011612</v>
      </c>
      <c r="J91" s="180">
        <v>51</v>
      </c>
      <c r="K91" s="172">
        <v>1</v>
      </c>
      <c r="L91" s="146">
        <v>0</v>
      </c>
      <c r="M91" s="66" t="str">
        <f t="shared" si="3"/>
        <v>RRF</v>
      </c>
      <c r="N91" s="185">
        <v>59</v>
      </c>
      <c r="O91" s="187">
        <v>0.93</v>
      </c>
      <c r="P91" s="187">
        <v>1</v>
      </c>
      <c r="Q91" s="187">
        <f t="shared" si="4"/>
        <v>6.9999999999999951E-2</v>
      </c>
      <c r="R91" s="188">
        <f t="shared" si="5"/>
        <v>0</v>
      </c>
      <c r="S91" s="65"/>
      <c r="T91" s="66"/>
      <c r="U91" s="65"/>
      <c r="V91" s="66"/>
      <c r="Z91" s="66"/>
      <c r="AA91" s="72"/>
      <c r="AB91" s="66"/>
      <c r="AC91" s="66"/>
      <c r="AD91" s="69"/>
      <c r="AE91" s="39"/>
      <c r="AF91" s="39"/>
      <c r="AG91" s="48"/>
      <c r="AH91" s="48"/>
    </row>
    <row r="92" spans="1:34" x14ac:dyDescent="0.25">
      <c r="A92" s="168" t="s">
        <v>22</v>
      </c>
      <c r="B92" s="168" t="s">
        <v>23</v>
      </c>
      <c r="C92" s="174">
        <v>840</v>
      </c>
      <c r="D92" s="174">
        <v>306</v>
      </c>
      <c r="E92" s="174">
        <v>297</v>
      </c>
      <c r="F92" s="174">
        <v>237</v>
      </c>
      <c r="G92" s="121" t="s">
        <v>1022</v>
      </c>
      <c r="H92" s="121">
        <v>231</v>
      </c>
      <c r="I92" s="114">
        <v>5.9999998658895493E-2</v>
      </c>
      <c r="J92" s="181">
        <v>144</v>
      </c>
      <c r="K92" s="175">
        <v>0.8399999737739563</v>
      </c>
      <c r="L92" s="176">
        <v>1.8737344071269035E-2</v>
      </c>
      <c r="M92" s="66" t="str">
        <f t="shared" si="3"/>
        <v>RCB</v>
      </c>
      <c r="N92" s="185">
        <v>47</v>
      </c>
      <c r="O92" s="187">
        <v>0.77</v>
      </c>
      <c r="P92" s="187">
        <v>0.9</v>
      </c>
      <c r="Q92" s="187">
        <f t="shared" si="4"/>
        <v>6.9999973773956281E-2</v>
      </c>
      <c r="R92" s="188">
        <f t="shared" si="5"/>
        <v>6.0000026226043723E-2</v>
      </c>
    </row>
  </sheetData>
  <sortState ref="A2:W91">
    <sortCondition ref="B2"/>
  </sortState>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4"/>
  <sheetViews>
    <sheetView workbookViewId="0">
      <pane xSplit="2" ySplit="7" topLeftCell="I8" activePane="bottomRight" state="frozen"/>
      <selection pane="topRight" activeCell="C1" sqref="C1"/>
      <selection pane="bottomLeft" activeCell="A2" sqref="A2"/>
      <selection pane="bottomRight" activeCell="AL7" sqref="AL7"/>
    </sheetView>
  </sheetViews>
  <sheetFormatPr defaultColWidth="15.85546875" defaultRowHeight="15" x14ac:dyDescent="0.25"/>
  <cols>
    <col min="1" max="1" width="10.140625" bestFit="1" customWidth="1"/>
    <col min="2" max="2" width="61" bestFit="1" customWidth="1"/>
    <col min="5" max="5" width="23.7109375" customWidth="1"/>
    <col min="6" max="6" width="19.28515625" customWidth="1"/>
    <col min="7" max="7" width="13.7109375" bestFit="1" customWidth="1"/>
    <col min="8" max="8" width="13.5703125" bestFit="1" customWidth="1"/>
    <col min="13" max="13" width="20" customWidth="1"/>
    <col min="14" max="15" width="19.28515625" customWidth="1"/>
    <col min="16" max="16" width="11.140625" customWidth="1"/>
    <col min="17" max="17" width="10.5703125" customWidth="1"/>
    <col min="21" max="21" width="10.140625" bestFit="1" customWidth="1"/>
    <col min="22" max="22" width="12" bestFit="1" customWidth="1"/>
    <col min="23" max="23" width="14.85546875" customWidth="1"/>
    <col min="24" max="24" width="6.28515625" bestFit="1" customWidth="1"/>
    <col min="25" max="25" width="11.42578125" bestFit="1" customWidth="1"/>
    <col min="26" max="26" width="14" bestFit="1" customWidth="1"/>
    <col min="27" max="27" width="14.42578125" bestFit="1" customWidth="1"/>
    <col min="28" max="28" width="14" bestFit="1" customWidth="1"/>
    <col min="29" max="29" width="15" bestFit="1" customWidth="1"/>
    <col min="30" max="30" width="14" bestFit="1" customWidth="1"/>
    <col min="31" max="31" width="15.7109375" bestFit="1" customWidth="1"/>
    <col min="32" max="32" width="8.42578125" bestFit="1" customWidth="1"/>
    <col min="33" max="33" width="11.42578125" bestFit="1" customWidth="1"/>
    <col min="34" max="34" width="8.140625" bestFit="1" customWidth="1"/>
    <col min="35" max="35" width="8.28515625" bestFit="1" customWidth="1"/>
    <col min="36" max="36" width="8.85546875" bestFit="1" customWidth="1"/>
    <col min="37" max="37" width="11" style="9" customWidth="1"/>
    <col min="38" max="38" width="12.7109375" style="9" customWidth="1"/>
    <col min="39" max="39" width="13.42578125" bestFit="1" customWidth="1"/>
  </cols>
  <sheetData>
    <row r="1" spans="1:39" x14ac:dyDescent="0.25">
      <c r="A1">
        <v>0</v>
      </c>
      <c r="B1" t="s">
        <v>258</v>
      </c>
      <c r="R1">
        <f t="shared" ref="R1:S5" si="0">QUARTILE(R$8:R$74,$A1)</f>
        <v>0.17</v>
      </c>
      <c r="S1">
        <f t="shared" si="0"/>
        <v>0.11</v>
      </c>
    </row>
    <row r="2" spans="1:39" x14ac:dyDescent="0.25">
      <c r="A2">
        <v>1</v>
      </c>
      <c r="B2" t="s">
        <v>259</v>
      </c>
      <c r="R2">
        <f t="shared" si="0"/>
        <v>0.67</v>
      </c>
      <c r="S2">
        <f t="shared" si="0"/>
        <v>0.9</v>
      </c>
    </row>
    <row r="3" spans="1:39" x14ac:dyDescent="0.25">
      <c r="A3">
        <v>2</v>
      </c>
      <c r="B3" t="s">
        <v>260</v>
      </c>
      <c r="R3">
        <f t="shared" si="0"/>
        <v>0.85</v>
      </c>
      <c r="S3">
        <f t="shared" si="0"/>
        <v>0.98</v>
      </c>
    </row>
    <row r="4" spans="1:39" x14ac:dyDescent="0.25">
      <c r="A4">
        <v>3</v>
      </c>
      <c r="B4" t="s">
        <v>261</v>
      </c>
      <c r="R4">
        <f t="shared" si="0"/>
        <v>0.94</v>
      </c>
      <c r="S4">
        <f t="shared" si="0"/>
        <v>1</v>
      </c>
    </row>
    <row r="5" spans="1:39" x14ac:dyDescent="0.25">
      <c r="A5">
        <v>4</v>
      </c>
      <c r="B5" t="s">
        <v>262</v>
      </c>
      <c r="R5">
        <f t="shared" si="0"/>
        <v>1</v>
      </c>
      <c r="S5">
        <f t="shared" si="0"/>
        <v>1</v>
      </c>
    </row>
    <row r="7" spans="1:39" ht="90" x14ac:dyDescent="0.25">
      <c r="A7" s="55" t="s">
        <v>140</v>
      </c>
      <c r="B7" s="56" t="s">
        <v>139</v>
      </c>
      <c r="C7" s="57" t="s">
        <v>865</v>
      </c>
      <c r="D7" s="57" t="s">
        <v>866</v>
      </c>
      <c r="E7" s="58" t="s">
        <v>755</v>
      </c>
      <c r="F7" s="58" t="s">
        <v>864</v>
      </c>
      <c r="G7" s="58" t="s">
        <v>867</v>
      </c>
      <c r="H7" s="58" t="s">
        <v>868</v>
      </c>
      <c r="I7" s="57" t="s">
        <v>869</v>
      </c>
      <c r="J7" s="57" t="s">
        <v>870</v>
      </c>
      <c r="K7" s="57" t="s">
        <v>871</v>
      </c>
      <c r="L7" s="59" t="s">
        <v>756</v>
      </c>
      <c r="M7" s="58" t="s">
        <v>864</v>
      </c>
      <c r="N7" s="58" t="s">
        <v>489</v>
      </c>
      <c r="O7" s="58" t="s">
        <v>490</v>
      </c>
      <c r="P7" s="58" t="s">
        <v>491</v>
      </c>
      <c r="Q7" s="58" t="s">
        <v>492</v>
      </c>
      <c r="R7" s="150" t="s">
        <v>757</v>
      </c>
      <c r="S7" s="151" t="s">
        <v>758</v>
      </c>
      <c r="T7" s="152" t="s">
        <v>759</v>
      </c>
      <c r="U7" s="153" t="s">
        <v>140</v>
      </c>
      <c r="V7" s="10" t="s">
        <v>872</v>
      </c>
      <c r="W7" s="10" t="s">
        <v>873</v>
      </c>
      <c r="X7" s="21" t="s">
        <v>284</v>
      </c>
      <c r="Y7" s="21" t="s">
        <v>283</v>
      </c>
      <c r="Z7" s="7" t="s">
        <v>874</v>
      </c>
      <c r="AA7" s="7" t="s">
        <v>875</v>
      </c>
      <c r="AB7" s="7" t="s">
        <v>876</v>
      </c>
      <c r="AC7" s="7" t="s">
        <v>877</v>
      </c>
      <c r="AD7" s="7" t="s">
        <v>878</v>
      </c>
      <c r="AE7" s="7" t="s">
        <v>879</v>
      </c>
      <c r="AF7" s="38" t="s">
        <v>285</v>
      </c>
      <c r="AG7" s="38" t="s">
        <v>286</v>
      </c>
      <c r="AH7" s="38" t="s">
        <v>387</v>
      </c>
      <c r="AI7" s="38" t="s">
        <v>388</v>
      </c>
      <c r="AJ7" s="38" t="s">
        <v>329</v>
      </c>
      <c r="AK7" s="154" t="s">
        <v>881</v>
      </c>
      <c r="AL7" s="154" t="s">
        <v>880</v>
      </c>
      <c r="AM7" s="38" t="s">
        <v>882</v>
      </c>
    </row>
    <row r="8" spans="1:39" x14ac:dyDescent="0.25">
      <c r="A8" t="s">
        <v>30</v>
      </c>
      <c r="B8" t="s">
        <v>291</v>
      </c>
      <c r="C8" s="144">
        <v>28</v>
      </c>
      <c r="D8" s="65">
        <v>78</v>
      </c>
      <c r="E8" s="65" t="s">
        <v>760</v>
      </c>
      <c r="F8" s="146">
        <v>0.82599999999999996</v>
      </c>
      <c r="G8" s="65">
        <v>22</v>
      </c>
      <c r="H8" s="65">
        <v>6</v>
      </c>
      <c r="I8" s="147">
        <v>3.67</v>
      </c>
      <c r="J8" s="147">
        <v>1.49</v>
      </c>
      <c r="K8" s="147">
        <v>7.5</v>
      </c>
      <c r="L8" s="65" t="s">
        <v>805</v>
      </c>
      <c r="M8" s="148">
        <v>82.6</v>
      </c>
      <c r="N8" s="148">
        <v>61.199999999999996</v>
      </c>
      <c r="O8" s="148">
        <v>95</v>
      </c>
      <c r="P8" s="127">
        <f>M8-N8</f>
        <v>21.4</v>
      </c>
      <c r="Q8" s="127">
        <f>O8-M8</f>
        <v>12.400000000000006</v>
      </c>
      <c r="R8" s="145">
        <v>0.64</v>
      </c>
      <c r="S8" s="145">
        <v>0.11</v>
      </c>
      <c r="T8" s="146">
        <v>0.108</v>
      </c>
      <c r="U8" t="str">
        <f t="shared" ref="U8:U39" si="1">A8</f>
        <v>RF4</v>
      </c>
      <c r="V8">
        <f t="shared" ref="V8:V39" si="2">+IF(R8&lt;R$2,1,IF(R8&lt;R$3,2,IF(R8&lt;R$4,3,4)))</f>
        <v>1</v>
      </c>
      <c r="W8">
        <f t="shared" ref="W8:W39" si="3">+IF(S8&lt;S$2,1,IF(S8&lt;S$3,2,IF(S8&lt;S$4,3,4)))</f>
        <v>1</v>
      </c>
      <c r="X8" s="40">
        <f>IF('Amputation Summary'!$Q$33=2,RANK(S8,S$8:S$74,1)+COUNTIF($S$8:S8,S8)-1,IF('Amputation Summary'!$Q$33=1,RANK(R8,R$8:R$74,1)+COUNTIF($R8:R8,R8)-1))</f>
        <v>12</v>
      </c>
      <c r="Y8" s="6">
        <f>IF( 'Amputation Summary'!$Q$33=2, S8, IF('Amputation Summary'!$Q$33=1,R8))</f>
        <v>0.64</v>
      </c>
      <c r="Z8" s="144">
        <v>6</v>
      </c>
      <c r="AA8" s="65">
        <v>2</v>
      </c>
      <c r="AB8">
        <f>Z8-AA8</f>
        <v>4</v>
      </c>
      <c r="AC8">
        <v>21</v>
      </c>
      <c r="AD8">
        <f>AC8-Z8</f>
        <v>15</v>
      </c>
      <c r="AE8">
        <v>13</v>
      </c>
      <c r="AF8" s="40">
        <f>AE8</f>
        <v>13</v>
      </c>
      <c r="AG8" s="9">
        <f>IF('Amputation Summary'!$O$4=2, M8, IF('Amputation Summary'!$O$4=1,Z8))</f>
        <v>6</v>
      </c>
      <c r="AH8" s="9">
        <f>IF('Amputation Summary'!$O$4=2, P8, IF('Amputation Summary'!$O$4=1,AB8))</f>
        <v>4</v>
      </c>
      <c r="AI8" s="9">
        <f>IF('Amputation Summary'!$O$4=2, Q8, IF('Amputation Summary'!$O$4=1,AD8))</f>
        <v>15</v>
      </c>
      <c r="AJ8">
        <v>1</v>
      </c>
      <c r="AK8" s="108">
        <f t="shared" ref="AK8:AK39" si="4">K8-I8</f>
        <v>3.83</v>
      </c>
      <c r="AL8" s="108">
        <f t="shared" ref="AL8:AL39" si="5">I8-J8</f>
        <v>2.1799999999999997</v>
      </c>
      <c r="AM8">
        <v>57</v>
      </c>
    </row>
    <row r="9" spans="1:39" x14ac:dyDescent="0.25">
      <c r="A9" t="s">
        <v>10</v>
      </c>
      <c r="B9" t="s">
        <v>11</v>
      </c>
      <c r="C9" s="144">
        <v>19</v>
      </c>
      <c r="D9" s="65">
        <v>138</v>
      </c>
      <c r="E9" s="65" t="s">
        <v>454</v>
      </c>
      <c r="F9" s="146">
        <v>0.86699999999999999</v>
      </c>
      <c r="G9" s="65">
        <v>16</v>
      </c>
      <c r="H9" s="65">
        <v>3</v>
      </c>
      <c r="I9" s="147">
        <v>5.33</v>
      </c>
      <c r="J9" s="147">
        <v>1.55</v>
      </c>
      <c r="K9" s="147">
        <v>7.5</v>
      </c>
      <c r="L9" s="65" t="s">
        <v>806</v>
      </c>
      <c r="M9" s="148">
        <v>86.7</v>
      </c>
      <c r="N9" s="148">
        <v>59.5</v>
      </c>
      <c r="O9" s="148">
        <v>98.3</v>
      </c>
      <c r="P9" s="127">
        <f t="shared" ref="P9:P72" si="6">M9-N9</f>
        <v>27.200000000000003</v>
      </c>
      <c r="Q9" s="127">
        <f t="shared" ref="Q9:Q72" si="7">O9-M9</f>
        <v>11.599999999999994</v>
      </c>
      <c r="R9" s="145">
        <v>1</v>
      </c>
      <c r="S9" s="145">
        <v>1</v>
      </c>
      <c r="T9" s="146">
        <v>0.126</v>
      </c>
      <c r="U9" t="str">
        <f t="shared" si="1"/>
        <v>R1H</v>
      </c>
      <c r="V9">
        <f t="shared" si="2"/>
        <v>4</v>
      </c>
      <c r="W9">
        <f t="shared" si="3"/>
        <v>4</v>
      </c>
      <c r="X9" s="40">
        <f>IF('Amputation Summary'!$Q$33=2,RANK(S9,S$8:S$74,1)+COUNTIF($S$8:S9,S9)-1,IF('Amputation Summary'!$Q$33=1,RANK(R9,R$8:R$74,1)+COUNTIF($R9:R9,R9)-1))</f>
        <v>57</v>
      </c>
      <c r="Y9" s="6">
        <f>IF( 'Amputation Summary'!$Q$33=2, S9, IF('Amputation Summary'!$Q$33=1,R9))</f>
        <v>1</v>
      </c>
      <c r="Z9" s="144">
        <v>8</v>
      </c>
      <c r="AA9" s="65">
        <v>2</v>
      </c>
      <c r="AB9">
        <f t="shared" ref="AB9:AB72" si="8">Z9-AA9</f>
        <v>6</v>
      </c>
      <c r="AC9">
        <v>18</v>
      </c>
      <c r="AD9">
        <f t="shared" ref="AD9:AD72" si="9">AC9-Z9</f>
        <v>10</v>
      </c>
      <c r="AE9">
        <v>33</v>
      </c>
      <c r="AF9" s="40">
        <f t="shared" ref="AF9:AF72" si="10">AE9</f>
        <v>33</v>
      </c>
      <c r="AG9" s="9">
        <f>IF('Amputation Summary'!$O$4=2, M9, IF('Amputation Summary'!$O$4=1,Z9))</f>
        <v>8</v>
      </c>
      <c r="AH9" s="9">
        <f>IF('Amputation Summary'!$O$4=2, P9, IF('Amputation Summary'!$O$4=1,AB9))</f>
        <v>6</v>
      </c>
      <c r="AI9" s="9">
        <f>IF('Amputation Summary'!$O$4=2, Q9, IF('Amputation Summary'!$O$4=1,AD9))</f>
        <v>10</v>
      </c>
      <c r="AJ9">
        <v>1</v>
      </c>
      <c r="AK9" s="108">
        <f t="shared" si="4"/>
        <v>2.17</v>
      </c>
      <c r="AL9" s="108">
        <f t="shared" si="5"/>
        <v>3.7800000000000002</v>
      </c>
      <c r="AM9">
        <v>58</v>
      </c>
    </row>
    <row r="10" spans="1:39" x14ac:dyDescent="0.25">
      <c r="A10" t="s">
        <v>417</v>
      </c>
      <c r="B10" t="s">
        <v>418</v>
      </c>
      <c r="C10" s="144">
        <v>46</v>
      </c>
      <c r="D10" s="65">
        <v>121</v>
      </c>
      <c r="E10" s="65" t="s">
        <v>761</v>
      </c>
      <c r="F10" s="146">
        <v>0.78300000000000003</v>
      </c>
      <c r="G10" s="65">
        <v>23</v>
      </c>
      <c r="H10" s="65">
        <v>23</v>
      </c>
      <c r="I10" s="147">
        <v>1</v>
      </c>
      <c r="J10" s="147">
        <v>0.56000000000000005</v>
      </c>
      <c r="K10" s="147">
        <v>1.78</v>
      </c>
      <c r="L10" s="65" t="s">
        <v>807</v>
      </c>
      <c r="M10" s="148">
        <v>78.3</v>
      </c>
      <c r="N10" s="148">
        <v>56.3</v>
      </c>
      <c r="O10" s="148">
        <v>92.5</v>
      </c>
      <c r="P10" s="127">
        <f t="shared" si="6"/>
        <v>22</v>
      </c>
      <c r="Q10" s="127">
        <f t="shared" si="7"/>
        <v>14.200000000000003</v>
      </c>
      <c r="R10" s="145">
        <v>0.85</v>
      </c>
      <c r="S10" s="145">
        <v>1</v>
      </c>
      <c r="T10" s="146">
        <v>5.5E-2</v>
      </c>
      <c r="U10" t="str">
        <f t="shared" si="1"/>
        <v>RC9</v>
      </c>
      <c r="V10">
        <f t="shared" si="2"/>
        <v>3</v>
      </c>
      <c r="W10">
        <f t="shared" si="3"/>
        <v>4</v>
      </c>
      <c r="X10" s="40">
        <f>IF('Amputation Summary'!$Q$33=2,RANK(S10,S$8:S$74,1)+COUNTIF($S$8:S10,S10)-1,IF('Amputation Summary'!$Q$33=1,RANK(R10,R$8:R$74,1)+COUNTIF($R10:R10,R10)-1))</f>
        <v>32</v>
      </c>
      <c r="Y10" s="6">
        <f>IF( 'Amputation Summary'!$Q$33=2, S10, IF('Amputation Summary'!$Q$33=1,R10))</f>
        <v>0.85</v>
      </c>
      <c r="Z10" s="144">
        <v>9</v>
      </c>
      <c r="AA10" s="65">
        <v>2</v>
      </c>
      <c r="AB10">
        <f t="shared" si="8"/>
        <v>7</v>
      </c>
      <c r="AC10">
        <v>18</v>
      </c>
      <c r="AD10">
        <f t="shared" si="9"/>
        <v>9</v>
      </c>
      <c r="AE10">
        <v>38</v>
      </c>
      <c r="AF10" s="40">
        <f t="shared" si="10"/>
        <v>38</v>
      </c>
      <c r="AG10" s="9">
        <f>IF('Amputation Summary'!$O$4=2, M10, IF('Amputation Summary'!$O$4=1,Z10))</f>
        <v>9</v>
      </c>
      <c r="AH10" s="9">
        <f>IF('Amputation Summary'!$O$4=2, P10, IF('Amputation Summary'!$O$4=1,AB10))</f>
        <v>7</v>
      </c>
      <c r="AI10" s="9">
        <f>IF('Amputation Summary'!$O$4=2, Q10, IF('Amputation Summary'!$O$4=1,AD10))</f>
        <v>9</v>
      </c>
      <c r="AJ10">
        <v>1</v>
      </c>
      <c r="AK10" s="108">
        <f t="shared" si="4"/>
        <v>0.78</v>
      </c>
      <c r="AL10" s="108">
        <f t="shared" si="5"/>
        <v>0.43999999999999995</v>
      </c>
      <c r="AM10">
        <v>33</v>
      </c>
    </row>
    <row r="11" spans="1:39" x14ac:dyDescent="0.25">
      <c r="A11" t="s">
        <v>137</v>
      </c>
      <c r="B11" t="s">
        <v>138</v>
      </c>
      <c r="C11" s="144">
        <v>133</v>
      </c>
      <c r="D11" s="65">
        <v>372</v>
      </c>
      <c r="E11" s="65" t="s">
        <v>762</v>
      </c>
      <c r="F11" s="146">
        <v>0.71899999999999997</v>
      </c>
      <c r="G11" s="65">
        <v>58</v>
      </c>
      <c r="H11" s="65">
        <v>75</v>
      </c>
      <c r="I11" s="147">
        <v>0.77</v>
      </c>
      <c r="J11" s="147">
        <v>0.55000000000000004</v>
      </c>
      <c r="K11" s="147">
        <v>1.0900000000000001</v>
      </c>
      <c r="L11" s="65" t="s">
        <v>808</v>
      </c>
      <c r="M11" s="148">
        <v>71.899999999999991</v>
      </c>
      <c r="N11" s="148">
        <v>59.199999999999996</v>
      </c>
      <c r="O11" s="148">
        <v>82.399999999999991</v>
      </c>
      <c r="P11" s="127">
        <f t="shared" si="6"/>
        <v>12.699999999999996</v>
      </c>
      <c r="Q11" s="127">
        <f t="shared" si="7"/>
        <v>10.5</v>
      </c>
      <c r="R11" s="145">
        <v>0.7</v>
      </c>
      <c r="S11" s="145">
        <v>0.91</v>
      </c>
      <c r="T11" s="146">
        <v>3.7999999999999999E-2</v>
      </c>
      <c r="U11" t="str">
        <f t="shared" si="1"/>
        <v>ZT001</v>
      </c>
      <c r="V11">
        <f t="shared" si="2"/>
        <v>2</v>
      </c>
      <c r="W11">
        <f t="shared" si="3"/>
        <v>2</v>
      </c>
      <c r="X11" s="40">
        <f>IF('Amputation Summary'!$Q$33=2,RANK(S11,S$8:S$74,1)+COUNTIF($S$8:S11,S11)-1,IF('Amputation Summary'!$Q$33=1,RANK(R11,R$8:R$74,1)+COUNTIF($R11:R11,R11)-1))</f>
        <v>20</v>
      </c>
      <c r="Y11" s="6">
        <f>IF( 'Amputation Summary'!$Q$33=2, S11, IF('Amputation Summary'!$Q$33=1,R11))</f>
        <v>0.7</v>
      </c>
      <c r="Z11" s="144">
        <v>15</v>
      </c>
      <c r="AA11" s="65">
        <v>5</v>
      </c>
      <c r="AB11">
        <f t="shared" si="8"/>
        <v>10</v>
      </c>
      <c r="AC11">
        <v>35</v>
      </c>
      <c r="AD11">
        <f t="shared" si="9"/>
        <v>20</v>
      </c>
      <c r="AE11">
        <v>53</v>
      </c>
      <c r="AF11" s="40">
        <f t="shared" si="10"/>
        <v>53</v>
      </c>
      <c r="AG11" s="9">
        <f>IF('Amputation Summary'!$O$4=2, M11, IF('Amputation Summary'!$O$4=1,Z11))</f>
        <v>15</v>
      </c>
      <c r="AH11" s="9">
        <f>IF('Amputation Summary'!$O$4=2, P11, IF('Amputation Summary'!$O$4=1,AB11))</f>
        <v>10</v>
      </c>
      <c r="AI11" s="9">
        <f>IF('Amputation Summary'!$O$4=2, Q11, IF('Amputation Summary'!$O$4=1,AD11))</f>
        <v>20</v>
      </c>
      <c r="AJ11">
        <v>1</v>
      </c>
      <c r="AK11" s="108">
        <f t="shared" si="4"/>
        <v>0.32000000000000006</v>
      </c>
      <c r="AL11" s="108">
        <f t="shared" si="5"/>
        <v>0.21999999999999997</v>
      </c>
      <c r="AM11">
        <v>20</v>
      </c>
    </row>
    <row r="12" spans="1:39" x14ac:dyDescent="0.25">
      <c r="A12" t="s">
        <v>0</v>
      </c>
      <c r="B12" t="s">
        <v>1</v>
      </c>
      <c r="C12" s="144">
        <v>73</v>
      </c>
      <c r="D12" s="65">
        <v>198</v>
      </c>
      <c r="E12" s="65" t="s">
        <v>763</v>
      </c>
      <c r="F12" s="146">
        <v>0.83299999999999996</v>
      </c>
      <c r="G12" s="65">
        <v>42</v>
      </c>
      <c r="H12" s="65">
        <v>31</v>
      </c>
      <c r="I12" s="147">
        <v>1.35</v>
      </c>
      <c r="J12" s="147">
        <v>0.85</v>
      </c>
      <c r="K12" s="147">
        <v>2.15</v>
      </c>
      <c r="L12" s="65" t="s">
        <v>809</v>
      </c>
      <c r="M12" s="148">
        <v>83.3</v>
      </c>
      <c r="N12" s="148">
        <v>70.7</v>
      </c>
      <c r="O12" s="148">
        <v>92.100000000000009</v>
      </c>
      <c r="P12" s="127">
        <f t="shared" si="6"/>
        <v>12.599999999999994</v>
      </c>
      <c r="Q12" s="127">
        <f t="shared" si="7"/>
        <v>8.8000000000000114</v>
      </c>
      <c r="R12" s="145">
        <v>0.99</v>
      </c>
      <c r="S12" s="145">
        <v>0.99</v>
      </c>
      <c r="T12" s="146">
        <v>4.8000000000000001E-2</v>
      </c>
      <c r="U12" t="str">
        <f t="shared" si="1"/>
        <v>7A1</v>
      </c>
      <c r="V12">
        <f t="shared" si="2"/>
        <v>4</v>
      </c>
      <c r="W12">
        <f t="shared" si="3"/>
        <v>3</v>
      </c>
      <c r="X12" s="40">
        <f>IF('Amputation Summary'!$Q$33=2,RANK(S12,S$8:S$74,1)+COUNTIF($S$8:S12,S12)-1,IF('Amputation Summary'!$Q$33=1,RANK(R12,R$8:R$74,1)+COUNTIF($R12:R12,R12)-1))</f>
        <v>55</v>
      </c>
      <c r="Y12" s="6">
        <f>IF( 'Amputation Summary'!$Q$33=2, S12, IF('Amputation Summary'!$Q$33=1,R12))</f>
        <v>0.99</v>
      </c>
      <c r="Z12" s="144">
        <v>12</v>
      </c>
      <c r="AA12" s="65">
        <v>5</v>
      </c>
      <c r="AB12">
        <f t="shared" si="8"/>
        <v>7</v>
      </c>
      <c r="AC12">
        <v>21</v>
      </c>
      <c r="AD12">
        <f t="shared" si="9"/>
        <v>9</v>
      </c>
      <c r="AE12">
        <v>44</v>
      </c>
      <c r="AF12" s="40">
        <f t="shared" si="10"/>
        <v>44</v>
      </c>
      <c r="AG12" s="9">
        <f>IF('Amputation Summary'!$O$4=2, M12, IF('Amputation Summary'!$O$4=1,Z12))</f>
        <v>12</v>
      </c>
      <c r="AH12" s="9">
        <f>IF('Amputation Summary'!$O$4=2, P12, IF('Amputation Summary'!$O$4=1,AB12))</f>
        <v>7</v>
      </c>
      <c r="AI12" s="9">
        <f>IF('Amputation Summary'!$O$4=2, Q12, IF('Amputation Summary'!$O$4=1,AD12))</f>
        <v>9</v>
      </c>
      <c r="AJ12">
        <v>1</v>
      </c>
      <c r="AK12" s="108">
        <f t="shared" si="4"/>
        <v>0.79999999999999982</v>
      </c>
      <c r="AL12" s="108">
        <f t="shared" si="5"/>
        <v>0.50000000000000011</v>
      </c>
      <c r="AM12">
        <v>46</v>
      </c>
    </row>
    <row r="13" spans="1:39" x14ac:dyDescent="0.25">
      <c r="A13" t="s">
        <v>15</v>
      </c>
      <c r="B13" t="s">
        <v>16</v>
      </c>
      <c r="C13" s="144">
        <v>33</v>
      </c>
      <c r="D13" s="65">
        <v>86</v>
      </c>
      <c r="E13" s="65" t="s">
        <v>764</v>
      </c>
      <c r="F13" s="146">
        <v>0.89500000000000002</v>
      </c>
      <c r="G13" s="65">
        <v>19</v>
      </c>
      <c r="H13" s="65">
        <v>14</v>
      </c>
      <c r="I13" s="147">
        <v>1.36</v>
      </c>
      <c r="J13" s="147">
        <v>0.68</v>
      </c>
      <c r="K13" s="147">
        <v>2.71</v>
      </c>
      <c r="L13" s="65" t="s">
        <v>810</v>
      </c>
      <c r="M13" s="148">
        <v>89.5</v>
      </c>
      <c r="N13" s="148">
        <v>66.900000000000006</v>
      </c>
      <c r="O13" s="148">
        <v>98.7</v>
      </c>
      <c r="P13" s="127">
        <f t="shared" si="6"/>
        <v>22.599999999999994</v>
      </c>
      <c r="Q13" s="127">
        <f t="shared" si="7"/>
        <v>9.2000000000000028</v>
      </c>
      <c r="R13" s="145">
        <v>0.91</v>
      </c>
      <c r="S13" s="145">
        <v>0.91</v>
      </c>
      <c r="T13" s="146">
        <v>7.5999999999999998E-2</v>
      </c>
      <c r="U13" t="str">
        <f t="shared" si="1"/>
        <v>RAE</v>
      </c>
      <c r="V13">
        <f t="shared" si="2"/>
        <v>3</v>
      </c>
      <c r="W13">
        <f t="shared" si="3"/>
        <v>2</v>
      </c>
      <c r="X13" s="40">
        <f>IF('Amputation Summary'!$Q$33=2,RANK(S13,S$8:S$74,1)+COUNTIF($S$8:S13,S13)-1,IF('Amputation Summary'!$Q$33=1,RANK(R13,R$8:R$74,1)+COUNTIF($R13:R13,R13)-1))</f>
        <v>46</v>
      </c>
      <c r="Y13" s="6">
        <f>IF( 'Amputation Summary'!$Q$33=2, S13, IF('Amputation Summary'!$Q$33=1,R13))</f>
        <v>0.91</v>
      </c>
      <c r="Z13" s="144">
        <v>7</v>
      </c>
      <c r="AA13" s="65">
        <v>2</v>
      </c>
      <c r="AB13">
        <f t="shared" si="8"/>
        <v>5</v>
      </c>
      <c r="AC13">
        <v>14</v>
      </c>
      <c r="AD13">
        <f t="shared" si="9"/>
        <v>7</v>
      </c>
      <c r="AE13">
        <v>21</v>
      </c>
      <c r="AF13" s="40">
        <f t="shared" si="10"/>
        <v>21</v>
      </c>
      <c r="AG13" s="9">
        <f>IF('Amputation Summary'!$O$4=2, M13, IF('Amputation Summary'!$O$4=1,Z13))</f>
        <v>7</v>
      </c>
      <c r="AH13" s="9">
        <f>IF('Amputation Summary'!$O$4=2, P13, IF('Amputation Summary'!$O$4=1,AB13))</f>
        <v>5</v>
      </c>
      <c r="AI13" s="9">
        <f>IF('Amputation Summary'!$O$4=2, Q13, IF('Amputation Summary'!$O$4=1,AD13))</f>
        <v>7</v>
      </c>
      <c r="AJ13">
        <v>1</v>
      </c>
      <c r="AK13" s="108">
        <f t="shared" si="4"/>
        <v>1.3499999999999999</v>
      </c>
      <c r="AL13" s="108">
        <f t="shared" si="5"/>
        <v>0.68</v>
      </c>
      <c r="AM13">
        <v>47</v>
      </c>
    </row>
    <row r="14" spans="1:39" x14ac:dyDescent="0.25">
      <c r="A14" t="s">
        <v>35</v>
      </c>
      <c r="B14" t="s">
        <v>36</v>
      </c>
      <c r="C14" s="144">
        <v>92</v>
      </c>
      <c r="D14" s="65">
        <v>228</v>
      </c>
      <c r="E14" s="65" t="s">
        <v>765</v>
      </c>
      <c r="F14" s="146">
        <v>0.98399999999999999</v>
      </c>
      <c r="G14" s="65">
        <v>37</v>
      </c>
      <c r="H14" s="65">
        <v>55</v>
      </c>
      <c r="I14" s="147">
        <v>0.67</v>
      </c>
      <c r="J14" s="147">
        <v>0.44</v>
      </c>
      <c r="K14" s="147">
        <v>1.02</v>
      </c>
      <c r="L14" s="65" t="s">
        <v>811</v>
      </c>
      <c r="M14" s="148">
        <v>98.4</v>
      </c>
      <c r="N14" s="148">
        <v>91.2</v>
      </c>
      <c r="O14" s="148">
        <v>100</v>
      </c>
      <c r="P14" s="127">
        <f t="shared" si="6"/>
        <v>7.2000000000000028</v>
      </c>
      <c r="Q14" s="127">
        <f t="shared" si="7"/>
        <v>1.5999999999999943</v>
      </c>
      <c r="R14" s="145">
        <v>0.6</v>
      </c>
      <c r="S14" s="145">
        <v>0.99</v>
      </c>
      <c r="T14" s="146">
        <v>7.6999999999999999E-2</v>
      </c>
      <c r="U14" t="str">
        <f t="shared" si="1"/>
        <v>RGT</v>
      </c>
      <c r="V14">
        <f t="shared" si="2"/>
        <v>1</v>
      </c>
      <c r="W14">
        <f t="shared" si="3"/>
        <v>3</v>
      </c>
      <c r="X14" s="40">
        <f>IF('Amputation Summary'!$Q$33=2,RANK(S14,S$8:S$74,1)+COUNTIF($S$8:S14,S14)-1,IF('Amputation Summary'!$Q$33=1,RANK(R14,R$8:R$74,1)+COUNTIF($R14:R14,R14)-1))</f>
        <v>9</v>
      </c>
      <c r="Y14" s="6">
        <f>IF( 'Amputation Summary'!$Q$33=2, S14, IF('Amputation Summary'!$Q$33=1,R14))</f>
        <v>0.6</v>
      </c>
      <c r="Z14" s="144">
        <v>7</v>
      </c>
      <c r="AA14" s="65">
        <v>2</v>
      </c>
      <c r="AB14">
        <f t="shared" si="8"/>
        <v>5</v>
      </c>
      <c r="AC14">
        <v>12</v>
      </c>
      <c r="AD14">
        <f t="shared" si="9"/>
        <v>5</v>
      </c>
      <c r="AE14">
        <v>23</v>
      </c>
      <c r="AF14" s="40">
        <f t="shared" si="10"/>
        <v>23</v>
      </c>
      <c r="AG14" s="9">
        <f>IF('Amputation Summary'!$O$4=2, M14, IF('Amputation Summary'!$O$4=1,Z14))</f>
        <v>7</v>
      </c>
      <c r="AH14" s="9">
        <f>IF('Amputation Summary'!$O$4=2, P14, IF('Amputation Summary'!$O$4=1,AB14))</f>
        <v>5</v>
      </c>
      <c r="AI14" s="9">
        <f>IF('Amputation Summary'!$O$4=2, Q14, IF('Amputation Summary'!$O$4=1,AD14))</f>
        <v>5</v>
      </c>
      <c r="AJ14">
        <v>1</v>
      </c>
      <c r="AK14" s="108">
        <f t="shared" si="4"/>
        <v>0.35</v>
      </c>
      <c r="AL14" s="108">
        <f t="shared" si="5"/>
        <v>0.23000000000000004</v>
      </c>
      <c r="AM14">
        <v>15</v>
      </c>
    </row>
    <row r="15" spans="1:39" x14ac:dyDescent="0.25">
      <c r="A15" t="s">
        <v>3</v>
      </c>
      <c r="B15" t="s">
        <v>4</v>
      </c>
      <c r="C15" s="144">
        <v>112</v>
      </c>
      <c r="D15" s="65">
        <v>251</v>
      </c>
      <c r="E15" s="65" t="s">
        <v>766</v>
      </c>
      <c r="F15" s="146">
        <v>0.82799999999999996</v>
      </c>
      <c r="G15" s="65">
        <v>41</v>
      </c>
      <c r="H15" s="65">
        <v>71</v>
      </c>
      <c r="I15" s="147">
        <v>0.57999999999999996</v>
      </c>
      <c r="J15" s="147">
        <v>0.39</v>
      </c>
      <c r="K15" s="147">
        <v>0.85</v>
      </c>
      <c r="L15" s="65" t="s">
        <v>812</v>
      </c>
      <c r="M15" s="148">
        <v>82.8</v>
      </c>
      <c r="N15" s="148">
        <v>71.3</v>
      </c>
      <c r="O15" s="148">
        <v>91.100000000000009</v>
      </c>
      <c r="P15" s="127">
        <f t="shared" si="6"/>
        <v>11.5</v>
      </c>
      <c r="Q15" s="127">
        <f t="shared" si="7"/>
        <v>8.3000000000000114</v>
      </c>
      <c r="R15" s="145">
        <v>0.89</v>
      </c>
      <c r="S15" s="145">
        <v>1</v>
      </c>
      <c r="T15" s="146">
        <v>8.4000000000000005E-2</v>
      </c>
      <c r="U15" t="str">
        <f t="shared" si="1"/>
        <v>7A4</v>
      </c>
      <c r="V15">
        <f t="shared" si="2"/>
        <v>3</v>
      </c>
      <c r="W15">
        <f t="shared" si="3"/>
        <v>4</v>
      </c>
      <c r="X15" s="40">
        <f>IF('Amputation Summary'!$Q$33=2,RANK(S15,S$8:S$74,1)+COUNTIF($S$8:S15,S15)-1,IF('Amputation Summary'!$Q$33=1,RANK(R15,R$8:R$74,1)+COUNTIF($R15:R15,R15)-1))</f>
        <v>36</v>
      </c>
      <c r="Y15" s="6">
        <f>IF( 'Amputation Summary'!$Q$33=2, S15, IF('Amputation Summary'!$Q$33=1,R15))</f>
        <v>0.89</v>
      </c>
      <c r="Z15" s="144">
        <v>10</v>
      </c>
      <c r="AA15" s="65">
        <v>3</v>
      </c>
      <c r="AB15">
        <f t="shared" si="8"/>
        <v>7</v>
      </c>
      <c r="AC15">
        <v>21</v>
      </c>
      <c r="AD15">
        <f t="shared" si="9"/>
        <v>11</v>
      </c>
      <c r="AE15">
        <v>39</v>
      </c>
      <c r="AF15" s="40">
        <f t="shared" si="10"/>
        <v>39</v>
      </c>
      <c r="AG15" s="9">
        <f>IF('Amputation Summary'!$O$4=2, M15, IF('Amputation Summary'!$O$4=1,Z15))</f>
        <v>10</v>
      </c>
      <c r="AH15" s="9">
        <f>IF('Amputation Summary'!$O$4=2, P15, IF('Amputation Summary'!$O$4=1,AB15))</f>
        <v>7</v>
      </c>
      <c r="AI15" s="9">
        <f>IF('Amputation Summary'!$O$4=2, Q15, IF('Amputation Summary'!$O$4=1,AD15))</f>
        <v>11</v>
      </c>
      <c r="AJ15">
        <v>1</v>
      </c>
      <c r="AK15" s="108">
        <f t="shared" si="4"/>
        <v>0.27</v>
      </c>
      <c r="AL15" s="108">
        <f t="shared" si="5"/>
        <v>0.18999999999999995</v>
      </c>
      <c r="AM15">
        <v>10</v>
      </c>
    </row>
    <row r="16" spans="1:39" x14ac:dyDescent="0.25">
      <c r="A16" t="s">
        <v>51</v>
      </c>
      <c r="B16" t="s">
        <v>52</v>
      </c>
      <c r="C16" s="144">
        <v>79</v>
      </c>
      <c r="D16" s="65">
        <v>215</v>
      </c>
      <c r="E16" s="65" t="s">
        <v>767</v>
      </c>
      <c r="F16" s="146">
        <v>0.94299999999999995</v>
      </c>
      <c r="G16" s="65">
        <v>47</v>
      </c>
      <c r="H16" s="65">
        <v>32</v>
      </c>
      <c r="I16" s="147">
        <v>1.47</v>
      </c>
      <c r="J16" s="147">
        <v>0.94</v>
      </c>
      <c r="K16" s="147">
        <v>2.2999999999999998</v>
      </c>
      <c r="L16" s="65" t="s">
        <v>813</v>
      </c>
      <c r="M16" s="148">
        <v>94.3</v>
      </c>
      <c r="N16" s="148">
        <v>84.3</v>
      </c>
      <c r="O16" s="148">
        <v>98.8</v>
      </c>
      <c r="P16" s="127">
        <f t="shared" si="6"/>
        <v>10</v>
      </c>
      <c r="Q16" s="127">
        <f t="shared" si="7"/>
        <v>4.5</v>
      </c>
      <c r="R16" s="145">
        <v>0.75</v>
      </c>
      <c r="S16" s="145">
        <v>0.9</v>
      </c>
      <c r="T16" s="146">
        <v>5.6000000000000001E-2</v>
      </c>
      <c r="U16" t="str">
        <f t="shared" si="1"/>
        <v>RJR</v>
      </c>
      <c r="V16">
        <f t="shared" si="2"/>
        <v>2</v>
      </c>
      <c r="W16">
        <f t="shared" si="3"/>
        <v>2</v>
      </c>
      <c r="X16" s="40">
        <f>IF('Amputation Summary'!$Q$33=2,RANK(S16,S$8:S$74,1)+COUNTIF($S$8:S16,S16)-1,IF('Amputation Summary'!$Q$33=1,RANK(R16,R$8:R$74,1)+COUNTIF($R16:R16,R16)-1))</f>
        <v>23</v>
      </c>
      <c r="Y16" s="6">
        <f>IF( 'Amputation Summary'!$Q$33=2, S16, IF('Amputation Summary'!$Q$33=1,R16))</f>
        <v>0.75</v>
      </c>
      <c r="Z16" s="144">
        <v>6</v>
      </c>
      <c r="AA16" s="65">
        <v>1</v>
      </c>
      <c r="AB16">
        <f t="shared" si="8"/>
        <v>5</v>
      </c>
      <c r="AC16">
        <v>12</v>
      </c>
      <c r="AD16">
        <f t="shared" si="9"/>
        <v>6</v>
      </c>
      <c r="AE16">
        <v>14</v>
      </c>
      <c r="AF16" s="40">
        <f t="shared" si="10"/>
        <v>14</v>
      </c>
      <c r="AG16" s="9">
        <f>IF('Amputation Summary'!$O$4=2, M16, IF('Amputation Summary'!$O$4=1,Z16))</f>
        <v>6</v>
      </c>
      <c r="AH16" s="9">
        <f>IF('Amputation Summary'!$O$4=2, P16, IF('Amputation Summary'!$O$4=1,AB16))</f>
        <v>5</v>
      </c>
      <c r="AI16" s="9">
        <f>IF('Amputation Summary'!$O$4=2, Q16, IF('Amputation Summary'!$O$4=1,AD16))</f>
        <v>6</v>
      </c>
      <c r="AJ16">
        <v>1</v>
      </c>
      <c r="AK16" s="108">
        <f t="shared" si="4"/>
        <v>0.82999999999999985</v>
      </c>
      <c r="AL16" s="108">
        <f t="shared" si="5"/>
        <v>0.53</v>
      </c>
      <c r="AM16">
        <v>50</v>
      </c>
    </row>
    <row r="17" spans="1:39" x14ac:dyDescent="0.25">
      <c r="A17" t="s">
        <v>68</v>
      </c>
      <c r="B17" t="s">
        <v>293</v>
      </c>
      <c r="C17" s="144">
        <v>7</v>
      </c>
      <c r="D17" s="65">
        <v>36</v>
      </c>
      <c r="E17" s="65" t="s">
        <v>227</v>
      </c>
      <c r="F17" s="146" t="s">
        <v>227</v>
      </c>
      <c r="G17" s="65">
        <v>4</v>
      </c>
      <c r="H17" s="65">
        <v>3</v>
      </c>
      <c r="I17" s="147" t="s">
        <v>227</v>
      </c>
      <c r="J17" s="147" t="s">
        <v>227</v>
      </c>
      <c r="K17" s="147" t="s">
        <v>227</v>
      </c>
      <c r="L17" s="65" t="s">
        <v>814</v>
      </c>
      <c r="M17" s="148" t="s">
        <v>227</v>
      </c>
      <c r="N17" s="148" t="s">
        <v>227</v>
      </c>
      <c r="O17" s="148" t="s">
        <v>227</v>
      </c>
      <c r="P17" s="127" t="e">
        <f t="shared" si="6"/>
        <v>#VALUE!</v>
      </c>
      <c r="Q17" s="127" t="e">
        <f t="shared" si="7"/>
        <v>#VALUE!</v>
      </c>
      <c r="R17" s="145">
        <v>1</v>
      </c>
      <c r="S17" s="145">
        <v>1</v>
      </c>
      <c r="T17" s="146">
        <v>2.9000000000000001E-2</v>
      </c>
      <c r="U17" t="str">
        <f t="shared" si="1"/>
        <v>RP5</v>
      </c>
      <c r="V17">
        <f t="shared" si="2"/>
        <v>4</v>
      </c>
      <c r="W17">
        <f t="shared" si="3"/>
        <v>4</v>
      </c>
      <c r="X17" s="40">
        <f>IF('Amputation Summary'!$Q$33=2,RANK(S17,S$8:S$74,1)+COUNTIF($S$8:S17,S17)-1,IF('Amputation Summary'!$Q$33=1,RANK(R17,R$8:R$74,1)+COUNTIF($R17:R17,R17)-1))</f>
        <v>57</v>
      </c>
      <c r="Y17" s="6">
        <f>IF( 'Amputation Summary'!$Q$33=2, S17, IF('Amputation Summary'!$Q$33=1,R17))</f>
        <v>1</v>
      </c>
      <c r="Z17" s="144" t="s">
        <v>227</v>
      </c>
      <c r="AA17" s="65" t="s">
        <v>227</v>
      </c>
      <c r="AB17" t="e">
        <f t="shared" si="8"/>
        <v>#VALUE!</v>
      </c>
      <c r="AC17" t="s">
        <v>227</v>
      </c>
      <c r="AD17" t="e">
        <f t="shared" si="9"/>
        <v>#VALUE!</v>
      </c>
      <c r="AE17">
        <v>67</v>
      </c>
      <c r="AF17" s="40">
        <f t="shared" si="10"/>
        <v>67</v>
      </c>
      <c r="AG17" s="9" t="str">
        <f>IF('Amputation Summary'!$O$4=2, M17, IF('Amputation Summary'!$O$4=1,Z17))</f>
        <v>xx</v>
      </c>
      <c r="AH17" s="9" t="e">
        <f>IF('Amputation Summary'!$O$4=2, P17, IF('Amputation Summary'!$O$4=1,AB17))</f>
        <v>#VALUE!</v>
      </c>
      <c r="AI17" s="9" t="e">
        <f>IF('Amputation Summary'!$O$4=2, Q17, IF('Amputation Summary'!$O$4=1,AD17))</f>
        <v>#VALUE!</v>
      </c>
      <c r="AJ17">
        <v>1</v>
      </c>
      <c r="AK17" s="108" t="e">
        <f t="shared" si="4"/>
        <v>#VALUE!</v>
      </c>
      <c r="AL17" s="108" t="e">
        <f t="shared" si="5"/>
        <v>#VALUE!</v>
      </c>
      <c r="AM17">
        <v>66</v>
      </c>
    </row>
    <row r="18" spans="1:39" x14ac:dyDescent="0.25">
      <c r="A18" t="s">
        <v>103</v>
      </c>
      <c r="B18" t="s">
        <v>104</v>
      </c>
      <c r="C18" s="144">
        <v>9</v>
      </c>
      <c r="D18" s="65">
        <v>38</v>
      </c>
      <c r="E18" s="65" t="s">
        <v>227</v>
      </c>
      <c r="F18" s="146" t="s">
        <v>227</v>
      </c>
      <c r="G18" s="65">
        <v>3</v>
      </c>
      <c r="H18" s="65">
        <v>6</v>
      </c>
      <c r="I18" s="147" t="s">
        <v>227</v>
      </c>
      <c r="J18" s="147" t="s">
        <v>227</v>
      </c>
      <c r="K18" s="147" t="s">
        <v>227</v>
      </c>
      <c r="L18" s="65" t="s">
        <v>815</v>
      </c>
      <c r="M18" s="148" t="s">
        <v>227</v>
      </c>
      <c r="N18" s="148" t="s">
        <v>227</v>
      </c>
      <c r="O18" s="148" t="s">
        <v>227</v>
      </c>
      <c r="P18" s="127" t="e">
        <f t="shared" si="6"/>
        <v>#VALUE!</v>
      </c>
      <c r="Q18" s="127" t="e">
        <f t="shared" si="7"/>
        <v>#VALUE!</v>
      </c>
      <c r="R18" s="145">
        <v>0.89</v>
      </c>
      <c r="S18" s="145">
        <v>1</v>
      </c>
      <c r="T18" s="146">
        <v>7.0999999999999994E-2</v>
      </c>
      <c r="U18" t="str">
        <f t="shared" si="1"/>
        <v>RWH</v>
      </c>
      <c r="V18">
        <f t="shared" si="2"/>
        <v>3</v>
      </c>
      <c r="W18">
        <f t="shared" si="3"/>
        <v>4</v>
      </c>
      <c r="X18" s="40">
        <f>IF('Amputation Summary'!$Q$33=2,RANK(S18,S$8:S$74,1)+COUNTIF($S$8:S18,S18)-1,IF('Amputation Summary'!$Q$33=1,RANK(R18,R$8:R$74,1)+COUNTIF($R18:R18,R18)-1))</f>
        <v>36</v>
      </c>
      <c r="Y18" s="6">
        <f>IF( 'Amputation Summary'!$Q$33=2, S18, IF('Amputation Summary'!$Q$33=1,R18))</f>
        <v>0.89</v>
      </c>
      <c r="Z18" s="144" t="s">
        <v>227</v>
      </c>
      <c r="AA18" s="65" t="s">
        <v>227</v>
      </c>
      <c r="AB18" t="e">
        <f t="shared" si="8"/>
        <v>#VALUE!</v>
      </c>
      <c r="AC18" t="s">
        <v>227</v>
      </c>
      <c r="AD18" t="e">
        <f t="shared" si="9"/>
        <v>#VALUE!</v>
      </c>
      <c r="AE18">
        <v>66</v>
      </c>
      <c r="AF18" s="40">
        <f t="shared" si="10"/>
        <v>66</v>
      </c>
      <c r="AG18" s="9" t="str">
        <f>IF('Amputation Summary'!$O$4=2, M18, IF('Amputation Summary'!$O$4=1,Z18))</f>
        <v>xx</v>
      </c>
      <c r="AH18" s="9" t="e">
        <f>IF('Amputation Summary'!$O$4=2, P18, IF('Amputation Summary'!$O$4=1,AB18))</f>
        <v>#VALUE!</v>
      </c>
      <c r="AI18" s="9" t="e">
        <f>IF('Amputation Summary'!$O$4=2, Q18, IF('Amputation Summary'!$O$4=1,AD18))</f>
        <v>#VALUE!</v>
      </c>
      <c r="AJ18">
        <v>1</v>
      </c>
      <c r="AK18" s="108" t="e">
        <f t="shared" si="4"/>
        <v>#VALUE!</v>
      </c>
      <c r="AL18" s="108" t="e">
        <f t="shared" si="5"/>
        <v>#VALUE!</v>
      </c>
      <c r="AM18">
        <v>61</v>
      </c>
    </row>
    <row r="19" spans="1:39" x14ac:dyDescent="0.25">
      <c r="A19" t="s">
        <v>94</v>
      </c>
      <c r="B19" t="s">
        <v>95</v>
      </c>
      <c r="C19" s="144">
        <v>42</v>
      </c>
      <c r="D19" s="65">
        <v>106</v>
      </c>
      <c r="E19" s="65" t="s">
        <v>768</v>
      </c>
      <c r="F19" s="146">
        <v>0.85699999999999998</v>
      </c>
      <c r="G19" s="65">
        <v>29</v>
      </c>
      <c r="H19" s="65">
        <v>13</v>
      </c>
      <c r="I19" s="147">
        <v>2.23</v>
      </c>
      <c r="J19" s="147">
        <v>1.1599999999999999</v>
      </c>
      <c r="K19" s="147">
        <v>4.29</v>
      </c>
      <c r="L19" s="65" t="s">
        <v>816</v>
      </c>
      <c r="M19" s="148">
        <v>85.7</v>
      </c>
      <c r="N19" s="148">
        <v>63.7</v>
      </c>
      <c r="O19" s="148">
        <v>97</v>
      </c>
      <c r="P19" s="127">
        <f t="shared" si="6"/>
        <v>22</v>
      </c>
      <c r="Q19" s="127">
        <f t="shared" si="7"/>
        <v>11.299999999999997</v>
      </c>
      <c r="R19" s="145">
        <v>0.98</v>
      </c>
      <c r="S19" s="145">
        <v>0.98</v>
      </c>
      <c r="T19" s="146">
        <v>5.0999999999999997E-2</v>
      </c>
      <c r="U19" t="str">
        <f t="shared" si="1"/>
        <v>RVV</v>
      </c>
      <c r="V19">
        <f t="shared" si="2"/>
        <v>4</v>
      </c>
      <c r="W19">
        <f t="shared" si="3"/>
        <v>3</v>
      </c>
      <c r="X19" s="40">
        <f>IF('Amputation Summary'!$Q$33=2,RANK(S19,S$8:S$74,1)+COUNTIF($S$8:S19,S19)-1,IF('Amputation Summary'!$Q$33=1,RANK(R19,R$8:R$74,1)+COUNTIF($R19:R19,R19)-1))</f>
        <v>52</v>
      </c>
      <c r="Y19" s="6">
        <f>IF( 'Amputation Summary'!$Q$33=2, S19, IF('Amputation Summary'!$Q$33=1,R19))</f>
        <v>0.98</v>
      </c>
      <c r="Z19" s="144">
        <v>5</v>
      </c>
      <c r="AA19" s="65">
        <v>2</v>
      </c>
      <c r="AB19">
        <f t="shared" si="8"/>
        <v>3</v>
      </c>
      <c r="AC19">
        <v>18</v>
      </c>
      <c r="AD19">
        <f t="shared" si="9"/>
        <v>13</v>
      </c>
      <c r="AE19">
        <v>9</v>
      </c>
      <c r="AF19" s="40">
        <f t="shared" si="10"/>
        <v>9</v>
      </c>
      <c r="AG19" s="9">
        <f>IF('Amputation Summary'!$O$4=2, M19, IF('Amputation Summary'!$O$4=1,Z19))</f>
        <v>5</v>
      </c>
      <c r="AH19" s="9">
        <f>IF('Amputation Summary'!$O$4=2, P19, IF('Amputation Summary'!$O$4=1,AB19))</f>
        <v>3</v>
      </c>
      <c r="AI19" s="9">
        <f>IF('Amputation Summary'!$O$4=2, Q19, IF('Amputation Summary'!$O$4=1,AD19))</f>
        <v>13</v>
      </c>
      <c r="AJ19">
        <v>1</v>
      </c>
      <c r="AK19" s="108">
        <f t="shared" si="4"/>
        <v>2.06</v>
      </c>
      <c r="AL19" s="108">
        <f t="shared" si="5"/>
        <v>1.07</v>
      </c>
      <c r="AM19">
        <v>54</v>
      </c>
    </row>
    <row r="20" spans="1:39" x14ac:dyDescent="0.25">
      <c r="A20" t="s">
        <v>115</v>
      </c>
      <c r="B20" t="s">
        <v>116</v>
      </c>
      <c r="C20" s="144">
        <v>57</v>
      </c>
      <c r="D20" s="65">
        <v>121</v>
      </c>
      <c r="E20" s="65" t="s">
        <v>450</v>
      </c>
      <c r="F20" s="146">
        <v>0.94099999999999995</v>
      </c>
      <c r="G20" s="65">
        <v>30</v>
      </c>
      <c r="H20" s="65">
        <v>27</v>
      </c>
      <c r="I20" s="147">
        <v>1.1100000000000001</v>
      </c>
      <c r="J20" s="147">
        <v>0.66</v>
      </c>
      <c r="K20" s="147">
        <v>1.87</v>
      </c>
      <c r="L20" s="65" t="s">
        <v>817</v>
      </c>
      <c r="M20" s="148">
        <v>94.1</v>
      </c>
      <c r="N20" s="148">
        <v>80.300000000000011</v>
      </c>
      <c r="O20" s="148">
        <v>99.3</v>
      </c>
      <c r="P20" s="127">
        <f t="shared" si="6"/>
        <v>13.799999999999983</v>
      </c>
      <c r="Q20" s="127">
        <f t="shared" si="7"/>
        <v>5.2000000000000028</v>
      </c>
      <c r="R20" s="145">
        <v>0.84</v>
      </c>
      <c r="S20" s="145">
        <v>0.77</v>
      </c>
      <c r="T20" s="146">
        <v>7.1999999999999995E-2</v>
      </c>
      <c r="U20" t="str">
        <f t="shared" si="1"/>
        <v>RXR</v>
      </c>
      <c r="V20">
        <f t="shared" si="2"/>
        <v>2</v>
      </c>
      <c r="W20">
        <f t="shared" si="3"/>
        <v>1</v>
      </c>
      <c r="X20" s="40">
        <f>IF('Amputation Summary'!$Q$33=2,RANK(S20,S$8:S$74,1)+COUNTIF($S$8:S20,S20)-1,IF('Amputation Summary'!$Q$33=1,RANK(R20,R$8:R$74,1)+COUNTIF($R20:R20,R20)-1))</f>
        <v>31</v>
      </c>
      <c r="Y20" s="6">
        <f>IF( 'Amputation Summary'!$Q$33=2, S20, IF('Amputation Summary'!$Q$33=1,R20))</f>
        <v>0.84</v>
      </c>
      <c r="Z20" s="144">
        <v>5</v>
      </c>
      <c r="AA20" s="65">
        <v>1</v>
      </c>
      <c r="AB20">
        <f t="shared" si="8"/>
        <v>4</v>
      </c>
      <c r="AC20">
        <v>9</v>
      </c>
      <c r="AD20">
        <f t="shared" si="9"/>
        <v>4</v>
      </c>
      <c r="AE20">
        <v>6</v>
      </c>
      <c r="AF20" s="40">
        <f t="shared" si="10"/>
        <v>6</v>
      </c>
      <c r="AG20" s="9">
        <f>IF('Amputation Summary'!$O$4=2, M20, IF('Amputation Summary'!$O$4=1,Z20))</f>
        <v>5</v>
      </c>
      <c r="AH20" s="9">
        <f>IF('Amputation Summary'!$O$4=2, P20, IF('Amputation Summary'!$O$4=1,AB20))</f>
        <v>4</v>
      </c>
      <c r="AI20" s="9">
        <f>IF('Amputation Summary'!$O$4=2, Q20, IF('Amputation Summary'!$O$4=1,AD20))</f>
        <v>4</v>
      </c>
      <c r="AJ20">
        <v>1</v>
      </c>
      <c r="AK20" s="108">
        <f t="shared" si="4"/>
        <v>0.76</v>
      </c>
      <c r="AL20" s="108">
        <f t="shared" si="5"/>
        <v>0.45000000000000007</v>
      </c>
      <c r="AM20">
        <v>39</v>
      </c>
    </row>
    <row r="21" spans="1:39" x14ac:dyDescent="0.25">
      <c r="A21" t="s">
        <v>24</v>
      </c>
      <c r="B21" t="s">
        <v>160</v>
      </c>
      <c r="C21" s="144">
        <v>53</v>
      </c>
      <c r="D21" s="65">
        <v>112</v>
      </c>
      <c r="E21" s="65" t="s">
        <v>769</v>
      </c>
      <c r="F21" s="146">
        <v>0.89100000000000001</v>
      </c>
      <c r="G21" s="65">
        <v>27</v>
      </c>
      <c r="H21" s="65">
        <v>26</v>
      </c>
      <c r="I21" s="147">
        <v>1.04</v>
      </c>
      <c r="J21" s="147">
        <v>0.61</v>
      </c>
      <c r="K21" s="147">
        <v>1.78</v>
      </c>
      <c r="L21" s="65" t="s">
        <v>818</v>
      </c>
      <c r="M21" s="148">
        <v>89.1</v>
      </c>
      <c r="N21" s="148">
        <v>76.400000000000006</v>
      </c>
      <c r="O21" s="148">
        <v>96.399999999999991</v>
      </c>
      <c r="P21" s="127">
        <f t="shared" si="6"/>
        <v>12.699999999999989</v>
      </c>
      <c r="Q21" s="127">
        <f t="shared" si="7"/>
        <v>7.2999999999999972</v>
      </c>
      <c r="R21" s="145">
        <v>0.66</v>
      </c>
      <c r="S21" s="145">
        <v>0.98</v>
      </c>
      <c r="T21" s="146">
        <v>3.5000000000000003E-2</v>
      </c>
      <c r="U21" t="str">
        <f t="shared" si="1"/>
        <v>RDE</v>
      </c>
      <c r="V21">
        <f t="shared" si="2"/>
        <v>1</v>
      </c>
      <c r="W21">
        <f t="shared" si="3"/>
        <v>3</v>
      </c>
      <c r="X21" s="40">
        <f>IF('Amputation Summary'!$Q$33=2,RANK(S21,S$8:S$74,1)+COUNTIF($S$8:S21,S21)-1,IF('Amputation Summary'!$Q$33=1,RANK(R21,R$8:R$74,1)+COUNTIF($R21:R21,R21)-1))</f>
        <v>15</v>
      </c>
      <c r="Y21" s="6">
        <f>IF( 'Amputation Summary'!$Q$33=2, S21, IF('Amputation Summary'!$Q$33=1,R21))</f>
        <v>0.66</v>
      </c>
      <c r="Z21" s="144">
        <v>8</v>
      </c>
      <c r="AA21" s="65">
        <v>2</v>
      </c>
      <c r="AB21">
        <f t="shared" si="8"/>
        <v>6</v>
      </c>
      <c r="AC21">
        <v>16</v>
      </c>
      <c r="AD21">
        <f t="shared" si="9"/>
        <v>8</v>
      </c>
      <c r="AE21">
        <v>29</v>
      </c>
      <c r="AF21" s="40">
        <f t="shared" si="10"/>
        <v>29</v>
      </c>
      <c r="AG21" s="9">
        <f>IF('Amputation Summary'!$O$4=2, M21, IF('Amputation Summary'!$O$4=1,Z21))</f>
        <v>8</v>
      </c>
      <c r="AH21" s="9">
        <f>IF('Amputation Summary'!$O$4=2, P21, IF('Amputation Summary'!$O$4=1,AB21))</f>
        <v>6</v>
      </c>
      <c r="AI21" s="9">
        <f>IF('Amputation Summary'!$O$4=2, Q21, IF('Amputation Summary'!$O$4=1,AD21))</f>
        <v>8</v>
      </c>
      <c r="AJ21">
        <v>1</v>
      </c>
      <c r="AK21" s="108">
        <f t="shared" si="4"/>
        <v>0.74</v>
      </c>
      <c r="AL21" s="108">
        <f t="shared" si="5"/>
        <v>0.43000000000000005</v>
      </c>
      <c r="AM21">
        <v>35</v>
      </c>
    </row>
    <row r="22" spans="1:39" x14ac:dyDescent="0.25">
      <c r="A22" t="s">
        <v>25</v>
      </c>
      <c r="B22" t="s">
        <v>26</v>
      </c>
      <c r="C22" s="144">
        <v>52</v>
      </c>
      <c r="D22" s="65">
        <v>155</v>
      </c>
      <c r="E22" s="65" t="s">
        <v>746</v>
      </c>
      <c r="F22" s="146">
        <v>0.80600000000000005</v>
      </c>
      <c r="G22" s="65">
        <v>27</v>
      </c>
      <c r="H22" s="65">
        <v>25</v>
      </c>
      <c r="I22" s="147">
        <v>1.08</v>
      </c>
      <c r="J22" s="147">
        <v>0.63</v>
      </c>
      <c r="K22" s="147">
        <v>1.86</v>
      </c>
      <c r="L22" s="65" t="s">
        <v>670</v>
      </c>
      <c r="M22" s="148">
        <v>80.600000000000009</v>
      </c>
      <c r="N22" s="148">
        <v>64</v>
      </c>
      <c r="O22" s="148">
        <v>91.8</v>
      </c>
      <c r="P22" s="127">
        <f t="shared" si="6"/>
        <v>16.600000000000009</v>
      </c>
      <c r="Q22" s="127">
        <f t="shared" si="7"/>
        <v>11.199999999999989</v>
      </c>
      <c r="R22" s="145">
        <v>1</v>
      </c>
      <c r="S22" s="145">
        <v>0.98</v>
      </c>
      <c r="T22" s="146">
        <v>5.3999999999999999E-2</v>
      </c>
      <c r="U22" t="str">
        <f t="shared" si="1"/>
        <v>RDU</v>
      </c>
      <c r="V22">
        <f t="shared" si="2"/>
        <v>4</v>
      </c>
      <c r="W22">
        <f t="shared" si="3"/>
        <v>3</v>
      </c>
      <c r="X22" s="40">
        <f>IF('Amputation Summary'!$Q$33=2,RANK(S22,S$8:S$74,1)+COUNTIF($S$8:S22,S22)-1,IF('Amputation Summary'!$Q$33=1,RANK(R22,R$8:R$74,1)+COUNTIF($R22:R22,R22)-1))</f>
        <v>57</v>
      </c>
      <c r="Y22" s="6">
        <f>IF( 'Amputation Summary'!$Q$33=2, S22, IF('Amputation Summary'!$Q$33=1,R22))</f>
        <v>1</v>
      </c>
      <c r="Z22" s="144">
        <v>7</v>
      </c>
      <c r="AA22" s="65">
        <v>3</v>
      </c>
      <c r="AB22">
        <f t="shared" si="8"/>
        <v>4</v>
      </c>
      <c r="AC22">
        <v>20</v>
      </c>
      <c r="AD22">
        <f t="shared" si="9"/>
        <v>13</v>
      </c>
      <c r="AE22">
        <v>24</v>
      </c>
      <c r="AF22" s="40">
        <f t="shared" si="10"/>
        <v>24</v>
      </c>
      <c r="AG22" s="9">
        <f>IF('Amputation Summary'!$O$4=2, M22, IF('Amputation Summary'!$O$4=1,Z22))</f>
        <v>7</v>
      </c>
      <c r="AH22" s="9">
        <f>IF('Amputation Summary'!$O$4=2, P22, IF('Amputation Summary'!$O$4=1,AB22))</f>
        <v>4</v>
      </c>
      <c r="AI22" s="9">
        <f>IF('Amputation Summary'!$O$4=2, Q22, IF('Amputation Summary'!$O$4=1,AD22))</f>
        <v>13</v>
      </c>
      <c r="AJ22">
        <v>1</v>
      </c>
      <c r="AK22" s="108">
        <f t="shared" si="4"/>
        <v>0.78</v>
      </c>
      <c r="AL22" s="108">
        <f t="shared" si="5"/>
        <v>0.45000000000000007</v>
      </c>
      <c r="AM22">
        <v>36</v>
      </c>
    </row>
    <row r="23" spans="1:39" x14ac:dyDescent="0.25">
      <c r="A23" t="s">
        <v>85</v>
      </c>
      <c r="B23" t="s">
        <v>86</v>
      </c>
      <c r="C23" s="144">
        <v>24</v>
      </c>
      <c r="D23" s="65">
        <v>78</v>
      </c>
      <c r="E23" s="65" t="s">
        <v>770</v>
      </c>
      <c r="F23" s="146">
        <v>0.94399999999999995</v>
      </c>
      <c r="G23" s="65">
        <v>9</v>
      </c>
      <c r="H23" s="65">
        <v>15</v>
      </c>
      <c r="I23" s="147">
        <v>0.6</v>
      </c>
      <c r="J23" s="147">
        <v>0.26</v>
      </c>
      <c r="K23" s="147">
        <v>1.37</v>
      </c>
      <c r="L23" s="65" t="s">
        <v>819</v>
      </c>
      <c r="M23" s="148">
        <v>94.399999999999991</v>
      </c>
      <c r="N23" s="148">
        <v>72.7</v>
      </c>
      <c r="O23" s="148">
        <v>99.9</v>
      </c>
      <c r="P23" s="127">
        <f t="shared" si="6"/>
        <v>21.699999999999989</v>
      </c>
      <c r="Q23" s="127">
        <f t="shared" si="7"/>
        <v>5.5000000000000142</v>
      </c>
      <c r="R23" s="145">
        <v>0.67</v>
      </c>
      <c r="S23" s="145">
        <v>1</v>
      </c>
      <c r="T23" s="146">
        <v>6.8000000000000005E-2</v>
      </c>
      <c r="U23" t="str">
        <f t="shared" si="1"/>
        <v>RTE</v>
      </c>
      <c r="V23">
        <f t="shared" si="2"/>
        <v>2</v>
      </c>
      <c r="W23">
        <f t="shared" si="3"/>
        <v>4</v>
      </c>
      <c r="X23" s="40">
        <f>IF('Amputation Summary'!$Q$33=2,RANK(S23,S$8:S$74,1)+COUNTIF($S$8:S23,S23)-1,IF('Amputation Summary'!$Q$33=1,RANK(R23,R$8:R$74,1)+COUNTIF($R23:R23,R23)-1))</f>
        <v>16</v>
      </c>
      <c r="Y23" s="6">
        <f>IF( 'Amputation Summary'!$Q$33=2, S23, IF('Amputation Summary'!$Q$33=1,R23))</f>
        <v>0.67</v>
      </c>
      <c r="Z23" s="144">
        <v>6</v>
      </c>
      <c r="AA23" s="65">
        <v>1</v>
      </c>
      <c r="AB23">
        <f t="shared" si="8"/>
        <v>5</v>
      </c>
      <c r="AC23">
        <v>9</v>
      </c>
      <c r="AD23">
        <f t="shared" si="9"/>
        <v>3</v>
      </c>
      <c r="AE23">
        <v>15</v>
      </c>
      <c r="AF23" s="40">
        <f t="shared" si="10"/>
        <v>15</v>
      </c>
      <c r="AG23" s="9">
        <f>IF('Amputation Summary'!$O$4=2, M23, IF('Amputation Summary'!$O$4=1,Z23))</f>
        <v>6</v>
      </c>
      <c r="AH23" s="9">
        <f>IF('Amputation Summary'!$O$4=2, P23, IF('Amputation Summary'!$O$4=1,AB23))</f>
        <v>5</v>
      </c>
      <c r="AI23" s="9">
        <f>IF('Amputation Summary'!$O$4=2, Q23, IF('Amputation Summary'!$O$4=1,AD23))</f>
        <v>3</v>
      </c>
      <c r="AJ23">
        <v>1</v>
      </c>
      <c r="AK23" s="108">
        <f t="shared" si="4"/>
        <v>0.77000000000000013</v>
      </c>
      <c r="AL23" s="108">
        <f t="shared" si="5"/>
        <v>0.33999999999999997</v>
      </c>
      <c r="AM23">
        <v>12</v>
      </c>
    </row>
    <row r="24" spans="1:39" x14ac:dyDescent="0.25">
      <c r="A24" t="s">
        <v>45</v>
      </c>
      <c r="B24" t="s">
        <v>46</v>
      </c>
      <c r="C24" s="144">
        <v>69</v>
      </c>
      <c r="D24" s="65">
        <v>175</v>
      </c>
      <c r="E24" s="65" t="s">
        <v>194</v>
      </c>
      <c r="F24" s="146">
        <v>0.92500000000000004</v>
      </c>
      <c r="G24" s="65">
        <v>40</v>
      </c>
      <c r="H24" s="65">
        <v>29</v>
      </c>
      <c r="I24" s="147">
        <v>1.38</v>
      </c>
      <c r="J24" s="147">
        <v>0.86</v>
      </c>
      <c r="K24" s="147">
        <v>2.2200000000000002</v>
      </c>
      <c r="L24" s="65" t="s">
        <v>820</v>
      </c>
      <c r="M24" s="148">
        <v>92.5</v>
      </c>
      <c r="N24" s="148">
        <v>79.600000000000009</v>
      </c>
      <c r="O24" s="148">
        <v>98.4</v>
      </c>
      <c r="P24" s="127">
        <f t="shared" si="6"/>
        <v>12.899999999999991</v>
      </c>
      <c r="Q24" s="127">
        <f t="shared" si="7"/>
        <v>5.9000000000000057</v>
      </c>
      <c r="R24" s="145">
        <v>0.57999999999999996</v>
      </c>
      <c r="S24" s="145">
        <v>1</v>
      </c>
      <c r="T24" s="146">
        <v>0.10100000000000001</v>
      </c>
      <c r="U24" t="str">
        <f t="shared" si="1"/>
        <v>RJ1</v>
      </c>
      <c r="V24">
        <f t="shared" si="2"/>
        <v>1</v>
      </c>
      <c r="W24">
        <f t="shared" si="3"/>
        <v>4</v>
      </c>
      <c r="X24" s="40">
        <f>IF('Amputation Summary'!$Q$33=2,RANK(S24,S$8:S$74,1)+COUNTIF($S$8:S24,S24)-1,IF('Amputation Summary'!$Q$33=1,RANK(R24,R$8:R$74,1)+COUNTIF($R24:R24,R24)-1))</f>
        <v>8</v>
      </c>
      <c r="Y24" s="6">
        <f>IF( 'Amputation Summary'!$Q$33=2, S24, IF('Amputation Summary'!$Q$33=1,R24))</f>
        <v>0.57999999999999996</v>
      </c>
      <c r="Z24" s="144">
        <v>5</v>
      </c>
      <c r="AA24" s="65">
        <v>2</v>
      </c>
      <c r="AB24">
        <f t="shared" si="8"/>
        <v>3</v>
      </c>
      <c r="AC24">
        <v>10</v>
      </c>
      <c r="AD24">
        <f t="shared" si="9"/>
        <v>5</v>
      </c>
      <c r="AE24">
        <v>10</v>
      </c>
      <c r="AF24" s="40">
        <f t="shared" si="10"/>
        <v>10</v>
      </c>
      <c r="AG24" s="9">
        <f>IF('Amputation Summary'!$O$4=2, M24, IF('Amputation Summary'!$O$4=1,Z24))</f>
        <v>5</v>
      </c>
      <c r="AH24" s="9">
        <f>IF('Amputation Summary'!$O$4=2, P24, IF('Amputation Summary'!$O$4=1,AB24))</f>
        <v>3</v>
      </c>
      <c r="AI24" s="9">
        <f>IF('Amputation Summary'!$O$4=2, Q24, IF('Amputation Summary'!$O$4=1,AD24))</f>
        <v>5</v>
      </c>
      <c r="AJ24">
        <v>1</v>
      </c>
      <c r="AK24" s="108">
        <f t="shared" si="4"/>
        <v>0.8400000000000003</v>
      </c>
      <c r="AL24" s="108">
        <f t="shared" si="5"/>
        <v>0.51999999999999991</v>
      </c>
      <c r="AM24">
        <v>48</v>
      </c>
    </row>
    <row r="25" spans="1:39" x14ac:dyDescent="0.25">
      <c r="A25" t="s">
        <v>96</v>
      </c>
      <c r="B25" t="s">
        <v>294</v>
      </c>
      <c r="C25" s="144">
        <v>80</v>
      </c>
      <c r="D25" s="65">
        <v>226</v>
      </c>
      <c r="E25" s="65" t="s">
        <v>771</v>
      </c>
      <c r="F25" s="146">
        <v>0.70299999999999996</v>
      </c>
      <c r="G25" s="65">
        <v>23</v>
      </c>
      <c r="H25" s="65">
        <v>57</v>
      </c>
      <c r="I25" s="147">
        <v>0.4</v>
      </c>
      <c r="J25" s="147">
        <v>0.25</v>
      </c>
      <c r="K25" s="147">
        <v>0.65</v>
      </c>
      <c r="L25" s="65" t="s">
        <v>821</v>
      </c>
      <c r="M25" s="148">
        <v>70.3</v>
      </c>
      <c r="N25" s="148">
        <v>53</v>
      </c>
      <c r="O25" s="148">
        <v>84.1</v>
      </c>
      <c r="P25" s="127">
        <f t="shared" si="6"/>
        <v>17.299999999999997</v>
      </c>
      <c r="Q25" s="127">
        <f t="shared" si="7"/>
        <v>13.799999999999997</v>
      </c>
      <c r="R25" s="145">
        <v>0.89</v>
      </c>
      <c r="S25" s="145">
        <v>1</v>
      </c>
      <c r="T25" s="146">
        <v>7.3999999999999996E-2</v>
      </c>
      <c r="U25" t="str">
        <f t="shared" si="1"/>
        <v>RWA</v>
      </c>
      <c r="V25">
        <f t="shared" si="2"/>
        <v>3</v>
      </c>
      <c r="W25">
        <f t="shared" si="3"/>
        <v>4</v>
      </c>
      <c r="X25" s="40">
        <f>IF('Amputation Summary'!$Q$33=2,RANK(S25,S$8:S$74,1)+COUNTIF($S$8:S25,S25)-1,IF('Amputation Summary'!$Q$33=1,RANK(R25,R$8:R$74,1)+COUNTIF($R25:R25,R25)-1))</f>
        <v>36</v>
      </c>
      <c r="Y25" s="6">
        <f>IF( 'Amputation Summary'!$Q$33=2, S25, IF('Amputation Summary'!$Q$33=1,R25))</f>
        <v>0.89</v>
      </c>
      <c r="Z25" s="144">
        <v>8</v>
      </c>
      <c r="AA25" s="65">
        <v>4</v>
      </c>
      <c r="AB25">
        <f t="shared" si="8"/>
        <v>4</v>
      </c>
      <c r="AC25">
        <v>43</v>
      </c>
      <c r="AD25">
        <f t="shared" si="9"/>
        <v>35</v>
      </c>
      <c r="AE25">
        <v>32</v>
      </c>
      <c r="AF25" s="40">
        <f t="shared" si="10"/>
        <v>32</v>
      </c>
      <c r="AG25" s="9">
        <f>IF('Amputation Summary'!$O$4=2, M25, IF('Amputation Summary'!$O$4=1,Z25))</f>
        <v>8</v>
      </c>
      <c r="AH25" s="9">
        <f>IF('Amputation Summary'!$O$4=2, P25, IF('Amputation Summary'!$O$4=1,AB25))</f>
        <v>4</v>
      </c>
      <c r="AI25" s="9">
        <f>IF('Amputation Summary'!$O$4=2, Q25, IF('Amputation Summary'!$O$4=1,AD25))</f>
        <v>35</v>
      </c>
      <c r="AJ25">
        <v>1</v>
      </c>
      <c r="AK25" s="108">
        <f t="shared" si="4"/>
        <v>0.25</v>
      </c>
      <c r="AL25" s="108">
        <f t="shared" si="5"/>
        <v>0.15000000000000002</v>
      </c>
      <c r="AM25">
        <v>5</v>
      </c>
    </row>
    <row r="26" spans="1:39" x14ac:dyDescent="0.25">
      <c r="A26" t="s">
        <v>119</v>
      </c>
      <c r="B26" t="s">
        <v>120</v>
      </c>
      <c r="C26" s="144">
        <v>49</v>
      </c>
      <c r="D26" s="65">
        <v>124</v>
      </c>
      <c r="E26" s="65" t="s">
        <v>772</v>
      </c>
      <c r="F26" s="146">
        <v>0.63600000000000001</v>
      </c>
      <c r="G26" s="65">
        <v>28</v>
      </c>
      <c r="H26" s="65">
        <v>21</v>
      </c>
      <c r="I26" s="147">
        <v>1.33</v>
      </c>
      <c r="J26" s="147">
        <v>0.76</v>
      </c>
      <c r="K26" s="147">
        <v>2.35</v>
      </c>
      <c r="L26" s="65" t="s">
        <v>822</v>
      </c>
      <c r="M26" s="148">
        <v>63.6</v>
      </c>
      <c r="N26" s="148">
        <v>45.1</v>
      </c>
      <c r="O26" s="148">
        <v>79.600000000000009</v>
      </c>
      <c r="P26" s="127">
        <f t="shared" si="6"/>
        <v>18.5</v>
      </c>
      <c r="Q26" s="127">
        <f t="shared" si="7"/>
        <v>16.000000000000007</v>
      </c>
      <c r="R26" s="145">
        <v>0.45</v>
      </c>
      <c r="S26" s="145">
        <v>0.71</v>
      </c>
      <c r="T26" s="146">
        <v>0.122</v>
      </c>
      <c r="U26" t="str">
        <f t="shared" si="1"/>
        <v>RYJ</v>
      </c>
      <c r="V26">
        <f t="shared" si="2"/>
        <v>1</v>
      </c>
      <c r="W26">
        <f t="shared" si="3"/>
        <v>1</v>
      </c>
      <c r="X26" s="40">
        <f>IF('Amputation Summary'!$Q$33=2,RANK(S26,S$8:S$74,1)+COUNTIF($S$8:S26,S26)-1,IF('Amputation Summary'!$Q$33=1,RANK(R26,R$8:R$74,1)+COUNTIF($R26:R26,R26)-1))</f>
        <v>5</v>
      </c>
      <c r="Y26" s="6">
        <f>IF( 'Amputation Summary'!$Q$33=2, S26, IF('Amputation Summary'!$Q$33=1,R26))</f>
        <v>0.45</v>
      </c>
      <c r="Z26" s="144">
        <v>16</v>
      </c>
      <c r="AA26" s="65">
        <v>13</v>
      </c>
      <c r="AB26">
        <f t="shared" si="8"/>
        <v>3</v>
      </c>
      <c r="AC26">
        <v>45</v>
      </c>
      <c r="AD26">
        <f t="shared" si="9"/>
        <v>29</v>
      </c>
      <c r="AE26">
        <v>55</v>
      </c>
      <c r="AF26" s="40">
        <f t="shared" si="10"/>
        <v>55</v>
      </c>
      <c r="AG26" s="9">
        <f>IF('Amputation Summary'!$O$4=2, M26, IF('Amputation Summary'!$O$4=1,Z26))</f>
        <v>16</v>
      </c>
      <c r="AH26" s="9">
        <f>IF('Amputation Summary'!$O$4=2, P26, IF('Amputation Summary'!$O$4=1,AB26))</f>
        <v>3</v>
      </c>
      <c r="AI26" s="9">
        <f>IF('Amputation Summary'!$O$4=2, Q26, IF('Amputation Summary'!$O$4=1,AD26))</f>
        <v>29</v>
      </c>
      <c r="AJ26">
        <v>1</v>
      </c>
      <c r="AK26" s="108">
        <f t="shared" si="4"/>
        <v>1.02</v>
      </c>
      <c r="AL26" s="108">
        <f t="shared" si="5"/>
        <v>0.57000000000000006</v>
      </c>
      <c r="AM26">
        <v>45</v>
      </c>
    </row>
    <row r="27" spans="1:39" x14ac:dyDescent="0.25">
      <c r="A27" t="s">
        <v>53</v>
      </c>
      <c r="B27" t="s">
        <v>54</v>
      </c>
      <c r="C27" s="144">
        <v>13</v>
      </c>
      <c r="D27" s="65">
        <v>36</v>
      </c>
      <c r="E27" s="65" t="s">
        <v>227</v>
      </c>
      <c r="F27" s="146" t="s">
        <v>227</v>
      </c>
      <c r="G27" s="65">
        <v>11</v>
      </c>
      <c r="H27" s="65">
        <v>2</v>
      </c>
      <c r="I27" s="147">
        <v>5.5</v>
      </c>
      <c r="J27" s="147">
        <v>1.22</v>
      </c>
      <c r="K27" s="147">
        <v>7.5</v>
      </c>
      <c r="L27" s="65" t="s">
        <v>823</v>
      </c>
      <c r="M27" s="148" t="s">
        <v>227</v>
      </c>
      <c r="N27" s="148" t="s">
        <v>227</v>
      </c>
      <c r="O27" s="148" t="s">
        <v>227</v>
      </c>
      <c r="P27" s="127" t="e">
        <f t="shared" si="6"/>
        <v>#VALUE!</v>
      </c>
      <c r="Q27" s="127" t="e">
        <f t="shared" si="7"/>
        <v>#VALUE!</v>
      </c>
      <c r="R27" s="145">
        <v>0.92</v>
      </c>
      <c r="S27" s="145">
        <v>1</v>
      </c>
      <c r="T27" s="146">
        <v>0.129</v>
      </c>
      <c r="U27" t="str">
        <f t="shared" si="1"/>
        <v>RJZ</v>
      </c>
      <c r="V27">
        <f t="shared" si="2"/>
        <v>3</v>
      </c>
      <c r="W27">
        <f t="shared" si="3"/>
        <v>4</v>
      </c>
      <c r="X27" s="40">
        <f>IF('Amputation Summary'!$Q$33=2,RANK(S27,S$8:S$74,1)+COUNTIF($S$8:S27,S27)-1,IF('Amputation Summary'!$Q$33=1,RANK(R27,R$8:R$74,1)+COUNTIF($R27:R27,R27)-1))</f>
        <v>47</v>
      </c>
      <c r="Y27" s="6">
        <f>IF( 'Amputation Summary'!$Q$33=2, S27, IF('Amputation Summary'!$Q$33=1,R27))</f>
        <v>0.92</v>
      </c>
      <c r="Z27" s="144" t="s">
        <v>227</v>
      </c>
      <c r="AA27" s="65" t="s">
        <v>227</v>
      </c>
      <c r="AB27" t="e">
        <f t="shared" si="8"/>
        <v>#VALUE!</v>
      </c>
      <c r="AC27" t="s">
        <v>227</v>
      </c>
      <c r="AD27" t="e">
        <f t="shared" si="9"/>
        <v>#VALUE!</v>
      </c>
      <c r="AE27">
        <v>60</v>
      </c>
      <c r="AF27" s="40">
        <f t="shared" si="10"/>
        <v>60</v>
      </c>
      <c r="AG27" s="9" t="str">
        <f>IF('Amputation Summary'!$O$4=2, M27, IF('Amputation Summary'!$O$4=1,Z27))</f>
        <v>xx</v>
      </c>
      <c r="AH27" s="9" t="e">
        <f>IF('Amputation Summary'!$O$4=2, P27, IF('Amputation Summary'!$O$4=1,AB27))</f>
        <v>#VALUE!</v>
      </c>
      <c r="AI27" s="9" t="e">
        <f>IF('Amputation Summary'!$O$4=2, Q27, IF('Amputation Summary'!$O$4=1,AD27))</f>
        <v>#VALUE!</v>
      </c>
      <c r="AJ27">
        <v>1</v>
      </c>
      <c r="AK27" s="108">
        <f t="shared" si="4"/>
        <v>2</v>
      </c>
      <c r="AL27" s="108">
        <f t="shared" si="5"/>
        <v>4.28</v>
      </c>
      <c r="AM27">
        <v>59</v>
      </c>
    </row>
    <row r="28" spans="1:39" x14ac:dyDescent="0.25">
      <c r="A28" t="s">
        <v>113</v>
      </c>
      <c r="B28" t="s">
        <v>114</v>
      </c>
      <c r="C28" s="144">
        <v>121</v>
      </c>
      <c r="D28" s="65">
        <v>270</v>
      </c>
      <c r="E28" s="65" t="s">
        <v>773</v>
      </c>
      <c r="F28" s="146">
        <v>0.75900000000000001</v>
      </c>
      <c r="G28" s="65">
        <v>63</v>
      </c>
      <c r="H28" s="65">
        <v>58</v>
      </c>
      <c r="I28" s="147">
        <v>1.0900000000000001</v>
      </c>
      <c r="J28" s="147">
        <v>0.76</v>
      </c>
      <c r="K28" s="147">
        <v>1.55</v>
      </c>
      <c r="L28" s="65" t="s">
        <v>824</v>
      </c>
      <c r="M28" s="148">
        <v>75.900000000000006</v>
      </c>
      <c r="N28" s="148">
        <v>65</v>
      </c>
      <c r="O28" s="148">
        <v>84.899999999999991</v>
      </c>
      <c r="P28" s="127">
        <f t="shared" si="6"/>
        <v>10.900000000000006</v>
      </c>
      <c r="Q28" s="127">
        <f t="shared" si="7"/>
        <v>8.9999999999999858</v>
      </c>
      <c r="R28" s="145">
        <v>0.9</v>
      </c>
      <c r="S28" s="145">
        <v>1</v>
      </c>
      <c r="T28" s="146">
        <v>8.3000000000000004E-2</v>
      </c>
      <c r="U28" t="str">
        <f t="shared" si="1"/>
        <v>RXN</v>
      </c>
      <c r="V28">
        <f t="shared" si="2"/>
        <v>3</v>
      </c>
      <c r="W28">
        <f t="shared" si="3"/>
        <v>4</v>
      </c>
      <c r="X28" s="40">
        <f>IF('Amputation Summary'!$Q$33=2,RANK(S28,S$8:S$74,1)+COUNTIF($S$8:S28,S28)-1,IF('Amputation Summary'!$Q$33=1,RANK(R28,R$8:R$74,1)+COUNTIF($R28:R28,R28)-1))</f>
        <v>43</v>
      </c>
      <c r="Y28" s="6">
        <f>IF( 'Amputation Summary'!$Q$33=2, S28, IF('Amputation Summary'!$Q$33=1,R28))</f>
        <v>0.9</v>
      </c>
      <c r="Z28" s="144">
        <v>12</v>
      </c>
      <c r="AA28" s="65">
        <v>5</v>
      </c>
      <c r="AB28">
        <f t="shared" si="8"/>
        <v>7</v>
      </c>
      <c r="AC28">
        <v>28</v>
      </c>
      <c r="AD28">
        <f t="shared" si="9"/>
        <v>16</v>
      </c>
      <c r="AE28">
        <v>46</v>
      </c>
      <c r="AF28" s="40">
        <f t="shared" si="10"/>
        <v>46</v>
      </c>
      <c r="AG28" s="9">
        <f>IF('Amputation Summary'!$O$4=2, M28, IF('Amputation Summary'!$O$4=1,Z28))</f>
        <v>12</v>
      </c>
      <c r="AH28" s="9">
        <f>IF('Amputation Summary'!$O$4=2, P28, IF('Amputation Summary'!$O$4=1,AB28))</f>
        <v>7</v>
      </c>
      <c r="AI28" s="9">
        <f>IF('Amputation Summary'!$O$4=2, Q28, IF('Amputation Summary'!$O$4=1,AD28))</f>
        <v>16</v>
      </c>
      <c r="AJ28">
        <v>1</v>
      </c>
      <c r="AK28" s="108">
        <f t="shared" si="4"/>
        <v>0.45999999999999996</v>
      </c>
      <c r="AL28" s="108">
        <f t="shared" si="5"/>
        <v>0.33000000000000007</v>
      </c>
      <c r="AM28">
        <v>38</v>
      </c>
    </row>
    <row r="29" spans="1:39" x14ac:dyDescent="0.25">
      <c r="A29" t="s">
        <v>75</v>
      </c>
      <c r="B29" t="s">
        <v>76</v>
      </c>
      <c r="C29" s="144">
        <v>72</v>
      </c>
      <c r="D29" s="65">
        <v>232</v>
      </c>
      <c r="E29" s="65" t="s">
        <v>774</v>
      </c>
      <c r="F29" s="146">
        <v>0.86699999999999999</v>
      </c>
      <c r="G29" s="65">
        <v>34</v>
      </c>
      <c r="H29" s="65">
        <v>38</v>
      </c>
      <c r="I29" s="147">
        <v>0.89</v>
      </c>
      <c r="J29" s="147">
        <v>0.56000000000000005</v>
      </c>
      <c r="K29" s="147">
        <v>1.42</v>
      </c>
      <c r="L29" s="65" t="s">
        <v>825</v>
      </c>
      <c r="M29" s="148">
        <v>86.7</v>
      </c>
      <c r="N29" s="148">
        <v>73.2</v>
      </c>
      <c r="O29" s="148">
        <v>94.899999999999991</v>
      </c>
      <c r="P29" s="127">
        <f t="shared" si="6"/>
        <v>13.5</v>
      </c>
      <c r="Q29" s="127">
        <f t="shared" si="7"/>
        <v>8.1999999999999886</v>
      </c>
      <c r="R29" s="145">
        <v>0.97</v>
      </c>
      <c r="S29" s="145">
        <v>1</v>
      </c>
      <c r="T29" s="146">
        <v>5.6000000000000001E-2</v>
      </c>
      <c r="U29" t="str">
        <f t="shared" si="1"/>
        <v>RR8</v>
      </c>
      <c r="V29">
        <f t="shared" si="2"/>
        <v>4</v>
      </c>
      <c r="W29">
        <f t="shared" si="3"/>
        <v>4</v>
      </c>
      <c r="X29" s="40">
        <f>IF('Amputation Summary'!$Q$33=2,RANK(S29,S$8:S$74,1)+COUNTIF($S$8:S29,S29)-1,IF('Amputation Summary'!$Q$33=1,RANK(R29,R$8:R$74,1)+COUNTIF($R29:R29,R29)-1))</f>
        <v>50</v>
      </c>
      <c r="Y29" s="6">
        <f>IF( 'Amputation Summary'!$Q$33=2, S29, IF('Amputation Summary'!$Q$33=1,R29))</f>
        <v>0.97</v>
      </c>
      <c r="Z29" s="144">
        <v>10</v>
      </c>
      <c r="AA29" s="65">
        <v>3</v>
      </c>
      <c r="AB29">
        <f t="shared" si="8"/>
        <v>7</v>
      </c>
      <c r="AC29">
        <v>17</v>
      </c>
      <c r="AD29">
        <f t="shared" si="9"/>
        <v>7</v>
      </c>
      <c r="AE29">
        <v>40</v>
      </c>
      <c r="AF29" s="40">
        <f t="shared" si="10"/>
        <v>40</v>
      </c>
      <c r="AG29" s="9">
        <f>IF('Amputation Summary'!$O$4=2, M29, IF('Amputation Summary'!$O$4=1,Z29))</f>
        <v>10</v>
      </c>
      <c r="AH29" s="9">
        <f>IF('Amputation Summary'!$O$4=2, P29, IF('Amputation Summary'!$O$4=1,AB29))</f>
        <v>7</v>
      </c>
      <c r="AI29" s="9">
        <f>IF('Amputation Summary'!$O$4=2, Q29, IF('Amputation Summary'!$O$4=1,AD29))</f>
        <v>7</v>
      </c>
      <c r="AJ29">
        <v>1</v>
      </c>
      <c r="AK29" s="108">
        <f t="shared" si="4"/>
        <v>0.52999999999999992</v>
      </c>
      <c r="AL29" s="108">
        <f t="shared" si="5"/>
        <v>0.32999999999999996</v>
      </c>
      <c r="AM29">
        <v>28</v>
      </c>
    </row>
    <row r="30" spans="1:39" x14ac:dyDescent="0.25">
      <c r="A30" t="s">
        <v>29</v>
      </c>
      <c r="B30" t="s">
        <v>295</v>
      </c>
      <c r="C30" s="144">
        <v>71</v>
      </c>
      <c r="D30" s="65">
        <v>200</v>
      </c>
      <c r="E30" s="65" t="s">
        <v>775</v>
      </c>
      <c r="F30" s="146">
        <v>0.88200000000000001</v>
      </c>
      <c r="G30" s="65">
        <v>33</v>
      </c>
      <c r="H30" s="65">
        <v>38</v>
      </c>
      <c r="I30" s="147">
        <v>0.87</v>
      </c>
      <c r="J30" s="147">
        <v>0.54</v>
      </c>
      <c r="K30" s="147">
        <v>1.38</v>
      </c>
      <c r="L30" s="65" t="s">
        <v>826</v>
      </c>
      <c r="M30" s="148">
        <v>88.2</v>
      </c>
      <c r="N30" s="148">
        <v>76.099999999999994</v>
      </c>
      <c r="O30" s="148">
        <v>95.6</v>
      </c>
      <c r="P30" s="127">
        <f t="shared" si="6"/>
        <v>12.100000000000009</v>
      </c>
      <c r="Q30" s="127">
        <f t="shared" si="7"/>
        <v>7.3999999999999915</v>
      </c>
      <c r="R30" s="145">
        <v>0.83</v>
      </c>
      <c r="S30" s="145">
        <v>0.86</v>
      </c>
      <c r="T30" s="146">
        <v>7.5999999999999998E-2</v>
      </c>
      <c r="U30" t="str">
        <f t="shared" si="1"/>
        <v>REM</v>
      </c>
      <c r="V30">
        <f t="shared" si="2"/>
        <v>2</v>
      </c>
      <c r="W30">
        <f t="shared" si="3"/>
        <v>1</v>
      </c>
      <c r="X30" s="40">
        <f>IF('Amputation Summary'!$Q$33=2,RANK(S30,S$8:S$74,1)+COUNTIF($S$8:S30,S30)-1,IF('Amputation Summary'!$Q$33=1,RANK(R30,R$8:R$74,1)+COUNTIF($R30:R30,R30)-1))</f>
        <v>29</v>
      </c>
      <c r="Y30" s="6">
        <f>IF( 'Amputation Summary'!$Q$33=2, S30, IF('Amputation Summary'!$Q$33=1,R30))</f>
        <v>0.83</v>
      </c>
      <c r="Z30" s="144">
        <v>7</v>
      </c>
      <c r="AA30" s="65">
        <v>3</v>
      </c>
      <c r="AB30">
        <f t="shared" si="8"/>
        <v>4</v>
      </c>
      <c r="AC30">
        <v>17</v>
      </c>
      <c r="AD30">
        <f t="shared" si="9"/>
        <v>10</v>
      </c>
      <c r="AE30">
        <v>20</v>
      </c>
      <c r="AF30" s="40">
        <f t="shared" si="10"/>
        <v>20</v>
      </c>
      <c r="AG30" s="9">
        <f>IF('Amputation Summary'!$O$4=2, M30, IF('Amputation Summary'!$O$4=1,Z30))</f>
        <v>7</v>
      </c>
      <c r="AH30" s="9">
        <f>IF('Amputation Summary'!$O$4=2, P30, IF('Amputation Summary'!$O$4=1,AB30))</f>
        <v>4</v>
      </c>
      <c r="AI30" s="9">
        <f>IF('Amputation Summary'!$O$4=2, Q30, IF('Amputation Summary'!$O$4=1,AD30))</f>
        <v>10</v>
      </c>
      <c r="AJ30">
        <v>1</v>
      </c>
      <c r="AK30" s="108">
        <f t="shared" si="4"/>
        <v>0.5099999999999999</v>
      </c>
      <c r="AL30" s="108">
        <f t="shared" si="5"/>
        <v>0.32999999999999996</v>
      </c>
      <c r="AM30">
        <v>27</v>
      </c>
    </row>
    <row r="31" spans="1:39" x14ac:dyDescent="0.25">
      <c r="A31" t="s">
        <v>12</v>
      </c>
      <c r="B31" t="s">
        <v>296</v>
      </c>
      <c r="C31" s="144">
        <v>23</v>
      </c>
      <c r="D31" s="65">
        <v>69</v>
      </c>
      <c r="E31" s="65" t="s">
        <v>765</v>
      </c>
      <c r="F31" s="146">
        <v>0.875</v>
      </c>
      <c r="G31" s="65">
        <v>4</v>
      </c>
      <c r="H31" s="65">
        <v>19</v>
      </c>
      <c r="I31" s="147">
        <v>0.21</v>
      </c>
      <c r="J31" s="147">
        <v>7.0000000000000007E-2</v>
      </c>
      <c r="K31" s="147">
        <v>0.62</v>
      </c>
      <c r="L31" s="65" t="s">
        <v>827</v>
      </c>
      <c r="M31" s="148">
        <v>87.5</v>
      </c>
      <c r="N31" s="148">
        <v>61.7</v>
      </c>
      <c r="O31" s="148">
        <v>98.4</v>
      </c>
      <c r="P31" s="127">
        <f t="shared" si="6"/>
        <v>25.799999999999997</v>
      </c>
      <c r="Q31" s="127">
        <f t="shared" si="7"/>
        <v>10.900000000000006</v>
      </c>
      <c r="R31" s="145">
        <v>1</v>
      </c>
      <c r="S31" s="145">
        <v>0.83</v>
      </c>
      <c r="T31" s="146">
        <v>8.1000000000000003E-2</v>
      </c>
      <c r="U31" t="str">
        <f t="shared" si="1"/>
        <v>R1K</v>
      </c>
      <c r="V31">
        <f t="shared" si="2"/>
        <v>4</v>
      </c>
      <c r="W31">
        <f t="shared" si="3"/>
        <v>1</v>
      </c>
      <c r="X31" s="40">
        <f>IF('Amputation Summary'!$Q$33=2,RANK(S31,S$8:S$74,1)+COUNTIF($S$8:S31,S31)-1,IF('Amputation Summary'!$Q$33=1,RANK(R31,R$8:R$74,1)+COUNTIF($R31:R31,R31)-1))</f>
        <v>57</v>
      </c>
      <c r="Y31" s="6">
        <f>IF( 'Amputation Summary'!$Q$33=2, S31, IF('Amputation Summary'!$Q$33=1,R31))</f>
        <v>1</v>
      </c>
      <c r="Z31" s="144">
        <v>7</v>
      </c>
      <c r="AA31" s="65">
        <v>2</v>
      </c>
      <c r="AB31">
        <f t="shared" si="8"/>
        <v>5</v>
      </c>
      <c r="AC31">
        <v>12</v>
      </c>
      <c r="AD31">
        <f t="shared" si="9"/>
        <v>5</v>
      </c>
      <c r="AE31">
        <v>18</v>
      </c>
      <c r="AF31" s="40">
        <f t="shared" si="10"/>
        <v>18</v>
      </c>
      <c r="AG31" s="9">
        <f>IF('Amputation Summary'!$O$4=2, M31, IF('Amputation Summary'!$O$4=1,Z31))</f>
        <v>7</v>
      </c>
      <c r="AH31" s="9">
        <f>IF('Amputation Summary'!$O$4=2, P31, IF('Amputation Summary'!$O$4=1,AB31))</f>
        <v>5</v>
      </c>
      <c r="AI31" s="9">
        <f>IF('Amputation Summary'!$O$4=2, Q31, IF('Amputation Summary'!$O$4=1,AD31))</f>
        <v>5</v>
      </c>
      <c r="AJ31">
        <v>1</v>
      </c>
      <c r="AK31" s="108">
        <f t="shared" si="4"/>
        <v>0.41000000000000003</v>
      </c>
      <c r="AL31" s="108">
        <f t="shared" si="5"/>
        <v>0.13999999999999999</v>
      </c>
      <c r="AM31">
        <v>2</v>
      </c>
    </row>
    <row r="32" spans="1:39" x14ac:dyDescent="0.25">
      <c r="A32" t="s">
        <v>8</v>
      </c>
      <c r="B32" t="s">
        <v>9</v>
      </c>
      <c r="C32" s="144">
        <v>31</v>
      </c>
      <c r="D32" s="65">
        <v>107</v>
      </c>
      <c r="E32" s="65" t="s">
        <v>776</v>
      </c>
      <c r="F32" s="146">
        <v>0.91300000000000003</v>
      </c>
      <c r="G32" s="65">
        <v>24</v>
      </c>
      <c r="H32" s="65">
        <v>7</v>
      </c>
      <c r="I32" s="147">
        <v>3.43</v>
      </c>
      <c r="J32" s="147">
        <v>1.48</v>
      </c>
      <c r="K32" s="147">
        <v>7.5</v>
      </c>
      <c r="L32" s="65" t="s">
        <v>828</v>
      </c>
      <c r="M32" s="148">
        <v>91.3</v>
      </c>
      <c r="N32" s="148">
        <v>72</v>
      </c>
      <c r="O32" s="148">
        <v>98.9</v>
      </c>
      <c r="P32" s="127">
        <f t="shared" si="6"/>
        <v>19.299999999999997</v>
      </c>
      <c r="Q32" s="127">
        <f t="shared" si="7"/>
        <v>7.6000000000000085</v>
      </c>
      <c r="R32" s="145">
        <v>0.74</v>
      </c>
      <c r="S32" s="145">
        <v>0.97</v>
      </c>
      <c r="T32" s="146">
        <v>8.6999999999999994E-2</v>
      </c>
      <c r="U32" t="str">
        <f t="shared" si="1"/>
        <v>R0A</v>
      </c>
      <c r="V32">
        <f t="shared" si="2"/>
        <v>2</v>
      </c>
      <c r="W32">
        <f t="shared" si="3"/>
        <v>2</v>
      </c>
      <c r="X32" s="40">
        <f>IF('Amputation Summary'!$Q$33=2,RANK(S32,S$8:S$74,1)+COUNTIF($S$8:S32,S32)-1,IF('Amputation Summary'!$Q$33=1,RANK(R32,R$8:R$74,1)+COUNTIF($R32:R32,R32)-1))</f>
        <v>22</v>
      </c>
      <c r="Y32" s="6">
        <f>IF( 'Amputation Summary'!$Q$33=2, S32, IF('Amputation Summary'!$Q$33=1,R32))</f>
        <v>0.74</v>
      </c>
      <c r="Z32" s="144">
        <v>4</v>
      </c>
      <c r="AA32" s="65">
        <v>1</v>
      </c>
      <c r="AB32">
        <f t="shared" si="8"/>
        <v>3</v>
      </c>
      <c r="AC32">
        <v>10</v>
      </c>
      <c r="AD32">
        <f t="shared" si="9"/>
        <v>6</v>
      </c>
      <c r="AE32">
        <v>5</v>
      </c>
      <c r="AF32" s="40">
        <f t="shared" si="10"/>
        <v>5</v>
      </c>
      <c r="AG32" s="9">
        <f>IF('Amputation Summary'!$O$4=2, M32, IF('Amputation Summary'!$O$4=1,Z32))</f>
        <v>4</v>
      </c>
      <c r="AH32" s="9">
        <f>IF('Amputation Summary'!$O$4=2, P32, IF('Amputation Summary'!$O$4=1,AB32))</f>
        <v>3</v>
      </c>
      <c r="AI32" s="9">
        <f>IF('Amputation Summary'!$O$4=2, Q32, IF('Amputation Summary'!$O$4=1,AD32))</f>
        <v>6</v>
      </c>
      <c r="AJ32">
        <v>1</v>
      </c>
      <c r="AK32" s="108">
        <f t="shared" si="4"/>
        <v>4.07</v>
      </c>
      <c r="AL32" s="108">
        <f t="shared" si="5"/>
        <v>1.9500000000000002</v>
      </c>
      <c r="AM32">
        <v>55</v>
      </c>
    </row>
    <row r="33" spans="1:39" x14ac:dyDescent="0.25">
      <c r="A33" t="s">
        <v>69</v>
      </c>
      <c r="B33" t="s">
        <v>70</v>
      </c>
      <c r="C33" s="144">
        <v>2</v>
      </c>
      <c r="D33" s="65">
        <v>20</v>
      </c>
      <c r="E33" s="65" t="s">
        <v>227</v>
      </c>
      <c r="F33" s="146" t="s">
        <v>227</v>
      </c>
      <c r="G33" s="65">
        <v>1</v>
      </c>
      <c r="H33" s="65">
        <v>1</v>
      </c>
      <c r="I33" s="147" t="s">
        <v>227</v>
      </c>
      <c r="J33" s="147" t="s">
        <v>227</v>
      </c>
      <c r="K33" s="147" t="s">
        <v>227</v>
      </c>
      <c r="L33" s="65" t="s">
        <v>829</v>
      </c>
      <c r="M33" s="148" t="s">
        <v>227</v>
      </c>
      <c r="N33" s="148" t="s">
        <v>227</v>
      </c>
      <c r="O33" s="148" t="s">
        <v>227</v>
      </c>
      <c r="P33" s="127" t="e">
        <f t="shared" si="6"/>
        <v>#VALUE!</v>
      </c>
      <c r="Q33" s="127" t="e">
        <f t="shared" si="7"/>
        <v>#VALUE!</v>
      </c>
      <c r="R33" s="145">
        <v>1</v>
      </c>
      <c r="S33" s="145">
        <v>1</v>
      </c>
      <c r="T33" s="146">
        <v>6.8000000000000005E-2</v>
      </c>
      <c r="U33" t="str">
        <f t="shared" si="1"/>
        <v>RPA</v>
      </c>
      <c r="V33">
        <f t="shared" si="2"/>
        <v>4</v>
      </c>
      <c r="W33">
        <f t="shared" si="3"/>
        <v>4</v>
      </c>
      <c r="X33" s="40">
        <f>IF('Amputation Summary'!$Q$33=2,RANK(S33,S$8:S$74,1)+COUNTIF($S$8:S33,S33)-1,IF('Amputation Summary'!$Q$33=1,RANK(R33,R$8:R$74,1)+COUNTIF($R33:R33,R33)-1))</f>
        <v>57</v>
      </c>
      <c r="Y33" s="6">
        <f>IF( 'Amputation Summary'!$Q$33=2, S33, IF('Amputation Summary'!$Q$33=1,R33))</f>
        <v>1</v>
      </c>
      <c r="Z33" s="144" t="s">
        <v>227</v>
      </c>
      <c r="AA33" s="65" t="s">
        <v>227</v>
      </c>
      <c r="AB33" t="e">
        <f t="shared" si="8"/>
        <v>#VALUE!</v>
      </c>
      <c r="AC33" t="s">
        <v>227</v>
      </c>
      <c r="AD33" t="e">
        <f t="shared" si="9"/>
        <v>#VALUE!</v>
      </c>
      <c r="AE33">
        <v>57</v>
      </c>
      <c r="AF33" s="40">
        <f t="shared" si="10"/>
        <v>57</v>
      </c>
      <c r="AG33" s="9" t="str">
        <f>IF('Amputation Summary'!$O$4=2, M33, IF('Amputation Summary'!$O$4=1,Z33))</f>
        <v>xx</v>
      </c>
      <c r="AH33" s="9" t="e">
        <f>IF('Amputation Summary'!$O$4=2, P33, IF('Amputation Summary'!$O$4=1,AB33))</f>
        <v>#VALUE!</v>
      </c>
      <c r="AI33" s="9" t="e">
        <f>IF('Amputation Summary'!$O$4=2, Q33, IF('Amputation Summary'!$O$4=1,AD33))</f>
        <v>#VALUE!</v>
      </c>
      <c r="AJ33">
        <v>1</v>
      </c>
      <c r="AK33" s="108" t="e">
        <f t="shared" si="4"/>
        <v>#VALUE!</v>
      </c>
      <c r="AL33" s="108" t="e">
        <f t="shared" si="5"/>
        <v>#VALUE!</v>
      </c>
      <c r="AM33">
        <v>65</v>
      </c>
    </row>
    <row r="34" spans="1:39" x14ac:dyDescent="0.25">
      <c r="A34" t="s">
        <v>17</v>
      </c>
      <c r="B34" t="s">
        <v>339</v>
      </c>
      <c r="C34" s="144">
        <v>96</v>
      </c>
      <c r="D34" s="65">
        <v>221</v>
      </c>
      <c r="E34" s="65" t="s">
        <v>777</v>
      </c>
      <c r="F34" s="146">
        <v>0.75</v>
      </c>
      <c r="G34" s="65">
        <v>47</v>
      </c>
      <c r="H34" s="65">
        <v>49</v>
      </c>
      <c r="I34" s="147">
        <v>0.96</v>
      </c>
      <c r="J34" s="147">
        <v>0.64</v>
      </c>
      <c r="K34" s="147">
        <v>1.43</v>
      </c>
      <c r="L34" s="65" t="s">
        <v>812</v>
      </c>
      <c r="M34" s="148">
        <v>75</v>
      </c>
      <c r="N34" s="148">
        <v>63</v>
      </c>
      <c r="O34" s="148">
        <v>84.7</v>
      </c>
      <c r="P34" s="127">
        <f t="shared" si="6"/>
        <v>12</v>
      </c>
      <c r="Q34" s="127">
        <f t="shared" si="7"/>
        <v>9.7000000000000028</v>
      </c>
      <c r="R34" s="145">
        <v>0.69</v>
      </c>
      <c r="S34" s="145">
        <v>0.2</v>
      </c>
      <c r="T34" s="146">
        <v>9.5000000000000001E-2</v>
      </c>
      <c r="U34" t="str">
        <f t="shared" si="1"/>
        <v>RAJ</v>
      </c>
      <c r="V34">
        <f t="shared" si="2"/>
        <v>2</v>
      </c>
      <c r="W34">
        <f t="shared" si="3"/>
        <v>1</v>
      </c>
      <c r="X34" s="40">
        <f>IF('Amputation Summary'!$Q$33=2,RANK(S34,S$8:S$74,1)+COUNTIF($S$8:S34,S34)-1,IF('Amputation Summary'!$Q$33=1,RANK(R34,R$8:R$74,1)+COUNTIF($R34:R34,R34)-1))</f>
        <v>19</v>
      </c>
      <c r="Y34" s="6">
        <f>IF( 'Amputation Summary'!$Q$33=2, S34, IF('Amputation Summary'!$Q$33=1,R34))</f>
        <v>0.69</v>
      </c>
      <c r="Z34" s="144">
        <v>11</v>
      </c>
      <c r="AA34" s="65">
        <v>3</v>
      </c>
      <c r="AB34">
        <f t="shared" si="8"/>
        <v>8</v>
      </c>
      <c r="AC34">
        <v>31</v>
      </c>
      <c r="AD34">
        <f t="shared" si="9"/>
        <v>20</v>
      </c>
      <c r="AE34">
        <v>42</v>
      </c>
      <c r="AF34" s="40">
        <f t="shared" si="10"/>
        <v>42</v>
      </c>
      <c r="AG34" s="9">
        <f>IF('Amputation Summary'!$O$4=2, M34, IF('Amputation Summary'!$O$4=1,Z34))</f>
        <v>11</v>
      </c>
      <c r="AH34" s="9">
        <f>IF('Amputation Summary'!$O$4=2, P34, IF('Amputation Summary'!$O$4=1,AB34))</f>
        <v>8</v>
      </c>
      <c r="AI34" s="9">
        <f>IF('Amputation Summary'!$O$4=2, Q34, IF('Amputation Summary'!$O$4=1,AD34))</f>
        <v>20</v>
      </c>
      <c r="AJ34">
        <v>1</v>
      </c>
      <c r="AK34" s="108">
        <f t="shared" si="4"/>
        <v>0.47</v>
      </c>
      <c r="AL34" s="108">
        <f t="shared" si="5"/>
        <v>0.31999999999999995</v>
      </c>
      <c r="AM34">
        <v>31</v>
      </c>
    </row>
    <row r="35" spans="1:39" x14ac:dyDescent="0.25">
      <c r="A35" t="s">
        <v>83</v>
      </c>
      <c r="B35" t="s">
        <v>84</v>
      </c>
      <c r="C35" s="144">
        <v>101</v>
      </c>
      <c r="D35" s="65">
        <v>274</v>
      </c>
      <c r="E35" s="65" t="s">
        <v>778</v>
      </c>
      <c r="F35" s="146">
        <v>0.85299999999999998</v>
      </c>
      <c r="G35" s="65">
        <v>54</v>
      </c>
      <c r="H35" s="65">
        <v>47</v>
      </c>
      <c r="I35" s="147">
        <v>1.1499999999999999</v>
      </c>
      <c r="J35" s="147">
        <v>0.78</v>
      </c>
      <c r="K35" s="147">
        <v>1.7</v>
      </c>
      <c r="L35" s="65" t="s">
        <v>830</v>
      </c>
      <c r="M35" s="148">
        <v>85.3</v>
      </c>
      <c r="N35" s="148">
        <v>74.599999999999994</v>
      </c>
      <c r="O35" s="148">
        <v>92.7</v>
      </c>
      <c r="P35" s="127">
        <f t="shared" si="6"/>
        <v>10.700000000000003</v>
      </c>
      <c r="Q35" s="127">
        <f t="shared" si="7"/>
        <v>7.4000000000000057</v>
      </c>
      <c r="R35" s="145">
        <v>0.18</v>
      </c>
      <c r="S35" s="145">
        <v>0.96</v>
      </c>
      <c r="T35" s="146">
        <v>7.8E-2</v>
      </c>
      <c r="U35" t="str">
        <f t="shared" si="1"/>
        <v>RTD</v>
      </c>
      <c r="V35">
        <f t="shared" si="2"/>
        <v>1</v>
      </c>
      <c r="W35">
        <f t="shared" si="3"/>
        <v>2</v>
      </c>
      <c r="X35" s="40">
        <f>IF('Amputation Summary'!$Q$33=2,RANK(S35,S$8:S$74,1)+COUNTIF($S$8:S35,S35)-1,IF('Amputation Summary'!$Q$33=1,RANK(R35,R$8:R$74,1)+COUNTIF($R35:R35,R35)-1))</f>
        <v>2</v>
      </c>
      <c r="Y35" s="6">
        <f>IF( 'Amputation Summary'!$Q$33=2, S35, IF('Amputation Summary'!$Q$33=1,R35))</f>
        <v>0.18</v>
      </c>
      <c r="Z35" s="144">
        <v>8</v>
      </c>
      <c r="AA35" s="65">
        <v>4</v>
      </c>
      <c r="AB35">
        <f t="shared" si="8"/>
        <v>4</v>
      </c>
      <c r="AC35">
        <v>18</v>
      </c>
      <c r="AD35">
        <f t="shared" si="9"/>
        <v>10</v>
      </c>
      <c r="AE35">
        <v>27</v>
      </c>
      <c r="AF35" s="40">
        <f t="shared" si="10"/>
        <v>27</v>
      </c>
      <c r="AG35" s="9">
        <f>IF('Amputation Summary'!$O$4=2, M35, IF('Amputation Summary'!$O$4=1,Z35))</f>
        <v>8</v>
      </c>
      <c r="AH35" s="9">
        <f>IF('Amputation Summary'!$O$4=2, P35, IF('Amputation Summary'!$O$4=1,AB35))</f>
        <v>4</v>
      </c>
      <c r="AI35" s="9">
        <f>IF('Amputation Summary'!$O$4=2, Q35, IF('Amputation Summary'!$O$4=1,AD35))</f>
        <v>10</v>
      </c>
      <c r="AJ35">
        <v>1</v>
      </c>
      <c r="AK35" s="108">
        <f t="shared" si="4"/>
        <v>0.55000000000000004</v>
      </c>
      <c r="AL35" s="108">
        <f t="shared" si="5"/>
        <v>0.36999999999999988</v>
      </c>
      <c r="AM35">
        <v>41</v>
      </c>
    </row>
    <row r="36" spans="1:39" x14ac:dyDescent="0.25">
      <c r="A36" t="s">
        <v>379</v>
      </c>
      <c r="B36" t="s">
        <v>380</v>
      </c>
      <c r="C36" s="144">
        <v>3</v>
      </c>
      <c r="D36" s="65">
        <v>30</v>
      </c>
      <c r="E36" s="65" t="s">
        <v>227</v>
      </c>
      <c r="F36" s="146" t="s">
        <v>227</v>
      </c>
      <c r="G36" s="65">
        <v>2</v>
      </c>
      <c r="H36" s="65">
        <v>1</v>
      </c>
      <c r="I36" s="147" t="s">
        <v>227</v>
      </c>
      <c r="J36" s="147" t="s">
        <v>227</v>
      </c>
      <c r="K36" s="147" t="s">
        <v>227</v>
      </c>
      <c r="L36" s="65" t="s">
        <v>831</v>
      </c>
      <c r="M36" s="148" t="s">
        <v>227</v>
      </c>
      <c r="N36" s="148" t="s">
        <v>227</v>
      </c>
      <c r="O36" s="148" t="s">
        <v>227</v>
      </c>
      <c r="P36" s="127" t="e">
        <f t="shared" si="6"/>
        <v>#VALUE!</v>
      </c>
      <c r="Q36" s="127" t="e">
        <f t="shared" si="7"/>
        <v>#VALUE!</v>
      </c>
      <c r="R36" s="145">
        <v>0.67</v>
      </c>
      <c r="S36" s="145">
        <v>0.33</v>
      </c>
      <c r="T36" s="146">
        <v>0.124</v>
      </c>
      <c r="U36" t="str">
        <f t="shared" si="1"/>
        <v>SY999</v>
      </c>
      <c r="V36">
        <f t="shared" si="2"/>
        <v>2</v>
      </c>
      <c r="W36">
        <f t="shared" si="3"/>
        <v>1</v>
      </c>
      <c r="X36" s="40">
        <f>IF('Amputation Summary'!$Q$33=2,RANK(S36,S$8:S$74,1)+COUNTIF($S$8:S36,S36)-1,IF('Amputation Summary'!$Q$33=1,RANK(R36,R$8:R$74,1)+COUNTIF($R36:R36,R36)-1))</f>
        <v>16</v>
      </c>
      <c r="Y36" s="6">
        <f>IF( 'Amputation Summary'!$Q$33=2, S36, IF('Amputation Summary'!$Q$33=1,R36))</f>
        <v>0.67</v>
      </c>
      <c r="Z36" s="144" t="s">
        <v>227</v>
      </c>
      <c r="AA36" s="65" t="s">
        <v>227</v>
      </c>
      <c r="AB36" t="e">
        <f t="shared" si="8"/>
        <v>#VALUE!</v>
      </c>
      <c r="AC36" t="s">
        <v>227</v>
      </c>
      <c r="AD36" t="e">
        <f t="shared" si="9"/>
        <v>#VALUE!</v>
      </c>
      <c r="AE36">
        <v>64</v>
      </c>
      <c r="AF36" s="40">
        <f t="shared" si="10"/>
        <v>64</v>
      </c>
      <c r="AG36" s="9" t="str">
        <f>IF('Amputation Summary'!$O$4=2, M36, IF('Amputation Summary'!$O$4=1,Z36))</f>
        <v>xx</v>
      </c>
      <c r="AH36" s="9" t="e">
        <f>IF('Amputation Summary'!$O$4=2, P36, IF('Amputation Summary'!$O$4=1,AB36))</f>
        <v>#VALUE!</v>
      </c>
      <c r="AI36" s="9" t="e">
        <f>IF('Amputation Summary'!$O$4=2, Q36, IF('Amputation Summary'!$O$4=1,AD36))</f>
        <v>#VALUE!</v>
      </c>
      <c r="AJ36">
        <v>1</v>
      </c>
      <c r="AK36" s="108" t="e">
        <f t="shared" si="4"/>
        <v>#VALUE!</v>
      </c>
      <c r="AL36" s="108" t="e">
        <f t="shared" si="5"/>
        <v>#VALUE!</v>
      </c>
      <c r="AM36">
        <v>67</v>
      </c>
    </row>
    <row r="37" spans="1:39" x14ac:dyDescent="0.25">
      <c r="A37" t="s">
        <v>129</v>
      </c>
      <c r="B37" t="s">
        <v>130</v>
      </c>
      <c r="C37" s="144">
        <v>0</v>
      </c>
      <c r="D37" s="65">
        <v>17</v>
      </c>
      <c r="E37" s="65" t="s">
        <v>220</v>
      </c>
      <c r="F37" s="146" t="s">
        <v>220</v>
      </c>
      <c r="G37" s="65" t="s">
        <v>227</v>
      </c>
      <c r="H37" s="65" t="s">
        <v>227</v>
      </c>
      <c r="I37" s="147" t="s">
        <v>227</v>
      </c>
      <c r="J37" s="147" t="e">
        <v>#VALUE!</v>
      </c>
      <c r="K37" s="147" t="e">
        <v>#VALUE!</v>
      </c>
      <c r="L37" s="65" t="e">
        <v>#VALUE!</v>
      </c>
      <c r="M37" s="148" t="e">
        <v>#VALUE!</v>
      </c>
      <c r="N37" s="148" t="e">
        <v>#VALUE!</v>
      </c>
      <c r="O37" s="148" t="e">
        <v>#VALUE!</v>
      </c>
      <c r="P37" s="127" t="e">
        <f t="shared" si="6"/>
        <v>#VALUE!</v>
      </c>
      <c r="Q37" s="127" t="e">
        <f t="shared" si="7"/>
        <v>#VALUE!</v>
      </c>
      <c r="R37" s="65" t="s">
        <v>220</v>
      </c>
      <c r="S37" s="65" t="s">
        <v>220</v>
      </c>
      <c r="T37" s="146">
        <v>9.0999999999999998E-2</v>
      </c>
      <c r="U37" t="str">
        <f t="shared" si="1"/>
        <v>SN999</v>
      </c>
      <c r="V37">
        <f t="shared" si="2"/>
        <v>4</v>
      </c>
      <c r="W37">
        <f t="shared" si="3"/>
        <v>4</v>
      </c>
      <c r="X37" s="40" t="e">
        <f>IF('Amputation Summary'!$Q$33=2,RANK(S37,S$8:S$74,1)+COUNTIF($S$8:S37,S37)-1,IF('Amputation Summary'!$Q$33=1,RANK(R37,R$8:R$74,1)+COUNTIF($R37:R37,R37)-1))</f>
        <v>#VALUE!</v>
      </c>
      <c r="Y37" s="6" t="str">
        <f>IF( 'Amputation Summary'!$Q$33=2, S37, IF('Amputation Summary'!$Q$33=1,R37))</f>
        <v>N/A</v>
      </c>
      <c r="Z37" s="144" t="e">
        <v>#VALUE!</v>
      </c>
      <c r="AA37" s="65" t="e">
        <v>#VALUE!</v>
      </c>
      <c r="AB37" t="e">
        <f t="shared" si="8"/>
        <v>#VALUE!</v>
      </c>
      <c r="AC37" t="e">
        <v>#VALUE!</v>
      </c>
      <c r="AD37" t="e">
        <f t="shared" si="9"/>
        <v>#VALUE!</v>
      </c>
      <c r="AE37">
        <v>61</v>
      </c>
      <c r="AF37" s="40">
        <f t="shared" si="10"/>
        <v>61</v>
      </c>
      <c r="AG37" s="9" t="e">
        <f>IF('Amputation Summary'!$O$4=2, M37, IF('Amputation Summary'!$O$4=1,Z37))</f>
        <v>#VALUE!</v>
      </c>
      <c r="AH37" s="9" t="e">
        <f>IF('Amputation Summary'!$O$4=2, P37, IF('Amputation Summary'!$O$4=1,AB37))</f>
        <v>#VALUE!</v>
      </c>
      <c r="AI37" s="9" t="e">
        <f>IF('Amputation Summary'!$O$4=2, Q37, IF('Amputation Summary'!$O$4=1,AD37))</f>
        <v>#VALUE!</v>
      </c>
      <c r="AJ37">
        <v>1</v>
      </c>
      <c r="AK37" s="108" t="e">
        <f t="shared" si="4"/>
        <v>#VALUE!</v>
      </c>
      <c r="AL37" s="108" t="e">
        <f t="shared" si="5"/>
        <v>#VALUE!</v>
      </c>
      <c r="AM37">
        <v>63</v>
      </c>
    </row>
    <row r="38" spans="1:39" x14ac:dyDescent="0.25">
      <c r="A38" t="s">
        <v>123</v>
      </c>
      <c r="B38" t="s">
        <v>124</v>
      </c>
      <c r="C38" s="144">
        <v>0</v>
      </c>
      <c r="D38" s="65">
        <v>6</v>
      </c>
      <c r="E38" s="65" t="s">
        <v>220</v>
      </c>
      <c r="F38" s="146" t="s">
        <v>220</v>
      </c>
      <c r="G38" s="65" t="s">
        <v>227</v>
      </c>
      <c r="H38" s="65" t="s">
        <v>227</v>
      </c>
      <c r="I38" s="147" t="s">
        <v>227</v>
      </c>
      <c r="J38" s="147" t="e">
        <v>#VALUE!</v>
      </c>
      <c r="K38" s="147" t="e">
        <v>#VALUE!</v>
      </c>
      <c r="L38" s="65" t="e">
        <v>#VALUE!</v>
      </c>
      <c r="M38" s="148" t="e">
        <v>#VALUE!</v>
      </c>
      <c r="N38" s="148" t="e">
        <v>#VALUE!</v>
      </c>
      <c r="O38" s="148" t="e">
        <v>#VALUE!</v>
      </c>
      <c r="P38" s="127" t="e">
        <f t="shared" si="6"/>
        <v>#VALUE!</v>
      </c>
      <c r="Q38" s="127" t="e">
        <f t="shared" si="7"/>
        <v>#VALUE!</v>
      </c>
      <c r="R38" s="65" t="s">
        <v>220</v>
      </c>
      <c r="S38" s="65" t="s">
        <v>220</v>
      </c>
      <c r="T38" s="146">
        <v>0.26300000000000001</v>
      </c>
      <c r="U38" t="str">
        <f t="shared" si="1"/>
        <v>SG999</v>
      </c>
      <c r="V38">
        <f t="shared" si="2"/>
        <v>4</v>
      </c>
      <c r="W38">
        <f t="shared" si="3"/>
        <v>4</v>
      </c>
      <c r="X38" s="40" t="e">
        <f>IF('Amputation Summary'!$Q$33=2,RANK(S38,S$8:S$74,1)+COUNTIF($S$8:S38,S38)-1,IF('Amputation Summary'!$Q$33=1,RANK(R38,R$8:R$74,1)+COUNTIF($R38:R38,R38)-1))</f>
        <v>#VALUE!</v>
      </c>
      <c r="Y38" s="6" t="str">
        <f>IF( 'Amputation Summary'!$Q$33=2, S38, IF('Amputation Summary'!$Q$33=1,R38))</f>
        <v>N/A</v>
      </c>
      <c r="Z38" s="144" t="e">
        <v>#VALUE!</v>
      </c>
      <c r="AA38" s="65" t="e">
        <v>#VALUE!</v>
      </c>
      <c r="AB38" t="e">
        <f t="shared" si="8"/>
        <v>#VALUE!</v>
      </c>
      <c r="AC38" t="e">
        <v>#VALUE!</v>
      </c>
      <c r="AD38" t="e">
        <f t="shared" si="9"/>
        <v>#VALUE!</v>
      </c>
      <c r="AE38">
        <v>62</v>
      </c>
      <c r="AF38" s="40">
        <f t="shared" si="10"/>
        <v>62</v>
      </c>
      <c r="AG38" s="9" t="e">
        <f>IF('Amputation Summary'!$O$4=2, M38, IF('Amputation Summary'!$O$4=1,Z38))</f>
        <v>#VALUE!</v>
      </c>
      <c r="AH38" s="9" t="e">
        <f>IF('Amputation Summary'!$O$4=2, P38, IF('Amputation Summary'!$O$4=1,AB38))</f>
        <v>#VALUE!</v>
      </c>
      <c r="AI38" s="9" t="e">
        <f>IF('Amputation Summary'!$O$4=2, Q38, IF('Amputation Summary'!$O$4=1,AD38))</f>
        <v>#VALUE!</v>
      </c>
      <c r="AJ38">
        <v>1</v>
      </c>
      <c r="AK38" s="108" t="e">
        <f t="shared" si="4"/>
        <v>#VALUE!</v>
      </c>
      <c r="AL38" s="108" t="e">
        <f t="shared" si="5"/>
        <v>#VALUE!</v>
      </c>
      <c r="AM38">
        <v>64</v>
      </c>
    </row>
    <row r="39" spans="1:39" x14ac:dyDescent="0.25">
      <c r="A39" t="s">
        <v>125</v>
      </c>
      <c r="B39" t="s">
        <v>126</v>
      </c>
      <c r="C39" s="144">
        <v>34</v>
      </c>
      <c r="D39" s="65">
        <v>100</v>
      </c>
      <c r="E39" s="65" t="s">
        <v>779</v>
      </c>
      <c r="F39" s="146">
        <v>0.8</v>
      </c>
      <c r="G39" s="65">
        <v>4</v>
      </c>
      <c r="H39" s="65">
        <v>30</v>
      </c>
      <c r="I39" s="147">
        <v>0.13</v>
      </c>
      <c r="J39" s="147">
        <v>0.05</v>
      </c>
      <c r="K39" s="147">
        <v>0.38</v>
      </c>
      <c r="L39" s="65" t="s">
        <v>832</v>
      </c>
      <c r="M39" s="148">
        <v>80</v>
      </c>
      <c r="N39" s="148">
        <v>61.4</v>
      </c>
      <c r="O39" s="148">
        <v>92.300000000000011</v>
      </c>
      <c r="P39" s="127">
        <f t="shared" si="6"/>
        <v>18.600000000000001</v>
      </c>
      <c r="Q39" s="127">
        <f t="shared" si="7"/>
        <v>12.300000000000011</v>
      </c>
      <c r="R39" s="145">
        <v>0.97</v>
      </c>
      <c r="S39" s="145">
        <v>0.94</v>
      </c>
      <c r="T39" s="146">
        <v>6.3E-2</v>
      </c>
      <c r="U39" t="str">
        <f t="shared" si="1"/>
        <v>SH999</v>
      </c>
      <c r="V39">
        <f t="shared" si="2"/>
        <v>4</v>
      </c>
      <c r="W39">
        <f t="shared" si="3"/>
        <v>2</v>
      </c>
      <c r="X39" s="40">
        <f>IF('Amputation Summary'!$Q$33=2,RANK(S39,S$8:S$74,1)+COUNTIF($S$8:S39,S39)-1,IF('Amputation Summary'!$Q$33=1,RANK(R39,R$8:R$74,1)+COUNTIF($R39:R39,R39)-1))</f>
        <v>50</v>
      </c>
      <c r="Y39" s="6">
        <f>IF( 'Amputation Summary'!$Q$33=2, S39, IF('Amputation Summary'!$Q$33=1,R39))</f>
        <v>0.97</v>
      </c>
      <c r="Z39" s="144">
        <v>3</v>
      </c>
      <c r="AA39" s="65">
        <v>1</v>
      </c>
      <c r="AB39">
        <f t="shared" si="8"/>
        <v>2</v>
      </c>
      <c r="AC39">
        <v>28</v>
      </c>
      <c r="AD39">
        <f t="shared" si="9"/>
        <v>25</v>
      </c>
      <c r="AE39">
        <v>1</v>
      </c>
      <c r="AF39" s="40">
        <f t="shared" si="10"/>
        <v>1</v>
      </c>
      <c r="AG39" s="9">
        <f>IF('Amputation Summary'!$O$4=2, M39, IF('Amputation Summary'!$O$4=1,Z39))</f>
        <v>3</v>
      </c>
      <c r="AH39" s="9">
        <f>IF('Amputation Summary'!$O$4=2, P39, IF('Amputation Summary'!$O$4=1,AB39))</f>
        <v>2</v>
      </c>
      <c r="AI39" s="9">
        <f>IF('Amputation Summary'!$O$4=2, Q39, IF('Amputation Summary'!$O$4=1,AD39))</f>
        <v>25</v>
      </c>
      <c r="AJ39">
        <v>1</v>
      </c>
      <c r="AK39" s="108">
        <f t="shared" si="4"/>
        <v>0.25</v>
      </c>
      <c r="AL39" s="108">
        <f t="shared" si="5"/>
        <v>0.08</v>
      </c>
      <c r="AM39">
        <v>1</v>
      </c>
    </row>
    <row r="40" spans="1:39" x14ac:dyDescent="0.25">
      <c r="A40" t="s">
        <v>127</v>
      </c>
      <c r="B40" t="s">
        <v>128</v>
      </c>
      <c r="C40" s="144">
        <v>140</v>
      </c>
      <c r="D40" s="65">
        <v>301</v>
      </c>
      <c r="E40" s="65" t="s">
        <v>768</v>
      </c>
      <c r="F40" s="146">
        <v>0.84199999999999997</v>
      </c>
      <c r="G40" s="65">
        <v>59</v>
      </c>
      <c r="H40" s="65">
        <v>81</v>
      </c>
      <c r="I40" s="147">
        <v>0.73</v>
      </c>
      <c r="J40" s="147">
        <v>0.52</v>
      </c>
      <c r="K40" s="147">
        <v>1.02</v>
      </c>
      <c r="L40" s="65" t="s">
        <v>833</v>
      </c>
      <c r="M40" s="148">
        <v>84.2</v>
      </c>
      <c r="N40" s="148">
        <v>75.3</v>
      </c>
      <c r="O40" s="148">
        <v>90.9</v>
      </c>
      <c r="P40" s="127">
        <f t="shared" si="6"/>
        <v>8.9000000000000057</v>
      </c>
      <c r="Q40" s="127">
        <f t="shared" si="7"/>
        <v>6.7000000000000028</v>
      </c>
      <c r="R40" s="145">
        <v>0.75</v>
      </c>
      <c r="S40" s="145">
        <v>0.95</v>
      </c>
      <c r="T40" s="146">
        <v>6.8000000000000005E-2</v>
      </c>
      <c r="U40" t="str">
        <f t="shared" ref="U40:U74" si="11">A40</f>
        <v>SL999</v>
      </c>
      <c r="V40">
        <f t="shared" ref="V40:V74" si="12">+IF(R40&lt;R$2,1,IF(R40&lt;R$3,2,IF(R40&lt;R$4,3,4)))</f>
        <v>2</v>
      </c>
      <c r="W40">
        <f t="shared" ref="W40:W74" si="13">+IF(S40&lt;S$2,1,IF(S40&lt;S$3,2,IF(S40&lt;S$4,3,4)))</f>
        <v>2</v>
      </c>
      <c r="X40" s="40">
        <f>IF('Amputation Summary'!$Q$33=2,RANK(S40,S$8:S$74,1)+COUNTIF($S$8:S40,S40)-1,IF('Amputation Summary'!$Q$33=1,RANK(R40,R$8:R$74,1)+COUNTIF($R40:R40,R40)-1))</f>
        <v>23</v>
      </c>
      <c r="Y40" s="6">
        <f>IF( 'Amputation Summary'!$Q$33=2, S40, IF('Amputation Summary'!$Q$33=1,R40))</f>
        <v>0.75</v>
      </c>
      <c r="Z40" s="144">
        <v>5</v>
      </c>
      <c r="AA40" s="65">
        <v>2</v>
      </c>
      <c r="AB40">
        <f t="shared" si="8"/>
        <v>3</v>
      </c>
      <c r="AC40">
        <v>18</v>
      </c>
      <c r="AD40">
        <f t="shared" si="9"/>
        <v>13</v>
      </c>
      <c r="AE40">
        <v>8</v>
      </c>
      <c r="AF40" s="40">
        <f t="shared" si="10"/>
        <v>8</v>
      </c>
      <c r="AG40" s="9">
        <f>IF('Amputation Summary'!$O$4=2, M40, IF('Amputation Summary'!$O$4=1,Z40))</f>
        <v>5</v>
      </c>
      <c r="AH40" s="9">
        <f>IF('Amputation Summary'!$O$4=2, P40, IF('Amputation Summary'!$O$4=1,AB40))</f>
        <v>3</v>
      </c>
      <c r="AI40" s="9">
        <f>IF('Amputation Summary'!$O$4=2, Q40, IF('Amputation Summary'!$O$4=1,AD40))</f>
        <v>13</v>
      </c>
      <c r="AJ40">
        <v>1</v>
      </c>
      <c r="AK40" s="108">
        <f t="shared" ref="AK40:AK72" si="14">K40-I40</f>
        <v>0.29000000000000004</v>
      </c>
      <c r="AL40" s="108">
        <f t="shared" ref="AL40:AL72" si="15">I40-J40</f>
        <v>0.20999999999999996</v>
      </c>
      <c r="AM40">
        <v>19</v>
      </c>
    </row>
    <row r="41" spans="1:39" x14ac:dyDescent="0.25">
      <c r="A41" t="s">
        <v>131</v>
      </c>
      <c r="B41" t="s">
        <v>132</v>
      </c>
      <c r="C41" s="144">
        <v>24</v>
      </c>
      <c r="D41" s="65">
        <v>35</v>
      </c>
      <c r="E41" s="65" t="s">
        <v>780</v>
      </c>
      <c r="F41" s="146">
        <v>0.72199999999999998</v>
      </c>
      <c r="G41" s="65">
        <v>10</v>
      </c>
      <c r="H41" s="65">
        <v>14</v>
      </c>
      <c r="I41" s="147">
        <v>0.71</v>
      </c>
      <c r="J41" s="147">
        <v>0.32</v>
      </c>
      <c r="K41" s="147">
        <v>1.61</v>
      </c>
      <c r="L41" s="65" t="s">
        <v>834</v>
      </c>
      <c r="M41" s="148">
        <v>72.2</v>
      </c>
      <c r="N41" s="148">
        <v>46.5</v>
      </c>
      <c r="O41" s="148">
        <v>90.3</v>
      </c>
      <c r="P41" s="127">
        <f t="shared" si="6"/>
        <v>25.700000000000003</v>
      </c>
      <c r="Q41" s="127">
        <f t="shared" si="7"/>
        <v>18.099999999999994</v>
      </c>
      <c r="R41" s="145">
        <v>0.75</v>
      </c>
      <c r="S41" s="145">
        <v>0.79</v>
      </c>
      <c r="T41" s="146">
        <v>4.1000000000000002E-2</v>
      </c>
      <c r="U41" t="str">
        <f t="shared" si="11"/>
        <v>SS999</v>
      </c>
      <c r="V41">
        <f t="shared" si="12"/>
        <v>2</v>
      </c>
      <c r="W41">
        <f t="shared" si="13"/>
        <v>1</v>
      </c>
      <c r="X41" s="40">
        <f>IF('Amputation Summary'!$Q$33=2,RANK(S41,S$8:S$74,1)+COUNTIF($S$8:S41,S41)-1,IF('Amputation Summary'!$Q$33=1,RANK(R41,R$8:R$74,1)+COUNTIF($R41:R41,R41)-1))</f>
        <v>23</v>
      </c>
      <c r="Y41" s="6">
        <f>IF( 'Amputation Summary'!$Q$33=2, S41, IF('Amputation Summary'!$Q$33=1,R41))</f>
        <v>0.75</v>
      </c>
      <c r="Z41" s="144">
        <v>7</v>
      </c>
      <c r="AA41" s="65">
        <v>3</v>
      </c>
      <c r="AB41">
        <f t="shared" si="8"/>
        <v>4</v>
      </c>
      <c r="AC41">
        <v>50</v>
      </c>
      <c r="AD41">
        <f t="shared" si="9"/>
        <v>43</v>
      </c>
      <c r="AE41">
        <v>19</v>
      </c>
      <c r="AF41" s="40">
        <f t="shared" si="10"/>
        <v>19</v>
      </c>
      <c r="AG41" s="9">
        <f>IF('Amputation Summary'!$O$4=2, M41, IF('Amputation Summary'!$O$4=1,Z41))</f>
        <v>7</v>
      </c>
      <c r="AH41" s="9">
        <f>IF('Amputation Summary'!$O$4=2, P41, IF('Amputation Summary'!$O$4=1,AB41))</f>
        <v>4</v>
      </c>
      <c r="AI41" s="9">
        <f>IF('Amputation Summary'!$O$4=2, Q41, IF('Amputation Summary'!$O$4=1,AD41))</f>
        <v>43</v>
      </c>
      <c r="AJ41">
        <v>1</v>
      </c>
      <c r="AK41" s="108">
        <f t="shared" si="14"/>
        <v>0.90000000000000013</v>
      </c>
      <c r="AL41" s="108">
        <f t="shared" si="15"/>
        <v>0.38999999999999996</v>
      </c>
      <c r="AM41">
        <v>17</v>
      </c>
    </row>
    <row r="42" spans="1:39" x14ac:dyDescent="0.25">
      <c r="A42" t="s">
        <v>133</v>
      </c>
      <c r="B42" t="s">
        <v>134</v>
      </c>
      <c r="C42" s="144">
        <v>44</v>
      </c>
      <c r="D42" s="65">
        <v>85</v>
      </c>
      <c r="E42" s="65" t="s">
        <v>781</v>
      </c>
      <c r="F42" s="146">
        <v>0.76500000000000001</v>
      </c>
      <c r="G42" s="65">
        <v>15</v>
      </c>
      <c r="H42" s="65">
        <v>29</v>
      </c>
      <c r="I42" s="147">
        <v>0.52</v>
      </c>
      <c r="J42" s="147">
        <v>0.28000000000000003</v>
      </c>
      <c r="K42" s="147">
        <v>0.96</v>
      </c>
      <c r="L42" s="65" t="s">
        <v>835</v>
      </c>
      <c r="M42" s="148">
        <v>76.5</v>
      </c>
      <c r="N42" s="148">
        <v>58.8</v>
      </c>
      <c r="O42" s="148">
        <v>89.3</v>
      </c>
      <c r="P42" s="127">
        <f t="shared" si="6"/>
        <v>17.700000000000003</v>
      </c>
      <c r="Q42" s="127">
        <f t="shared" si="7"/>
        <v>12.799999999999997</v>
      </c>
      <c r="R42" s="145">
        <v>0.64</v>
      </c>
      <c r="S42" s="145">
        <v>0.93</v>
      </c>
      <c r="T42" s="146">
        <v>8.4000000000000005E-2</v>
      </c>
      <c r="U42" t="str">
        <f t="shared" si="11"/>
        <v>ST999</v>
      </c>
      <c r="V42">
        <f t="shared" si="12"/>
        <v>1</v>
      </c>
      <c r="W42">
        <f t="shared" si="13"/>
        <v>2</v>
      </c>
      <c r="X42" s="40">
        <f>IF('Amputation Summary'!$Q$33=2,RANK(S42,S$8:S$74,1)+COUNTIF($S$8:S42,S42)-1,IF('Amputation Summary'!$Q$33=1,RANK(R42,R$8:R$74,1)+COUNTIF($R42:R42,R42)-1))</f>
        <v>12</v>
      </c>
      <c r="Y42" s="6">
        <f>IF( 'Amputation Summary'!$Q$33=2, S42, IF('Amputation Summary'!$Q$33=1,R42))</f>
        <v>0.64</v>
      </c>
      <c r="Z42" s="144">
        <v>13</v>
      </c>
      <c r="AA42" s="65">
        <v>5</v>
      </c>
      <c r="AB42">
        <f t="shared" si="8"/>
        <v>8</v>
      </c>
      <c r="AC42">
        <v>27</v>
      </c>
      <c r="AD42">
        <f t="shared" si="9"/>
        <v>14</v>
      </c>
      <c r="AE42">
        <v>47</v>
      </c>
      <c r="AF42" s="40">
        <f t="shared" si="10"/>
        <v>47</v>
      </c>
      <c r="AG42" s="9">
        <f>IF('Amputation Summary'!$O$4=2, M42, IF('Amputation Summary'!$O$4=1,Z42))</f>
        <v>13</v>
      </c>
      <c r="AH42" s="9">
        <f>IF('Amputation Summary'!$O$4=2, P42, IF('Amputation Summary'!$O$4=1,AB42))</f>
        <v>8</v>
      </c>
      <c r="AI42" s="9">
        <f>IF('Amputation Summary'!$O$4=2, Q42, IF('Amputation Summary'!$O$4=1,AD42))</f>
        <v>14</v>
      </c>
      <c r="AJ42">
        <v>1</v>
      </c>
      <c r="AK42" s="108">
        <f t="shared" si="14"/>
        <v>0.43999999999999995</v>
      </c>
      <c r="AL42" s="108">
        <f t="shared" si="15"/>
        <v>0.24</v>
      </c>
      <c r="AM42">
        <v>9</v>
      </c>
    </row>
    <row r="43" spans="1:39" x14ac:dyDescent="0.25">
      <c r="A43" t="s">
        <v>60</v>
      </c>
      <c r="B43" t="s">
        <v>61</v>
      </c>
      <c r="C43" s="144">
        <v>82</v>
      </c>
      <c r="D43" s="65">
        <v>257</v>
      </c>
      <c r="E43" s="65" t="s">
        <v>782</v>
      </c>
      <c r="F43" s="146">
        <v>0.61499999999999999</v>
      </c>
      <c r="G43" s="65">
        <v>26</v>
      </c>
      <c r="H43" s="65">
        <v>56</v>
      </c>
      <c r="I43" s="147">
        <v>0.46</v>
      </c>
      <c r="J43" s="147">
        <v>0.28999999999999998</v>
      </c>
      <c r="K43" s="147">
        <v>0.74</v>
      </c>
      <c r="L43" s="65" t="s">
        <v>836</v>
      </c>
      <c r="M43" s="148">
        <v>61.5</v>
      </c>
      <c r="N43" s="148">
        <v>47</v>
      </c>
      <c r="O43" s="148">
        <v>74.7</v>
      </c>
      <c r="P43" s="127">
        <f t="shared" si="6"/>
        <v>14.5</v>
      </c>
      <c r="Q43" s="127">
        <f t="shared" si="7"/>
        <v>13.200000000000003</v>
      </c>
      <c r="R43" s="145">
        <v>0.17</v>
      </c>
      <c r="S43" s="145">
        <v>1</v>
      </c>
      <c r="T43" s="146">
        <v>0.05</v>
      </c>
      <c r="U43" t="str">
        <f t="shared" si="11"/>
        <v>RM1</v>
      </c>
      <c r="V43">
        <f t="shared" si="12"/>
        <v>1</v>
      </c>
      <c r="W43">
        <f t="shared" si="13"/>
        <v>4</v>
      </c>
      <c r="X43" s="40">
        <f>IF('Amputation Summary'!$Q$33=2,RANK(S43,S$8:S$74,1)+COUNTIF($S$8:S43,S43)-1,IF('Amputation Summary'!$Q$33=1,RANK(R43,R$8:R$74,1)+COUNTIF($R43:R43,R43)-1))</f>
        <v>1</v>
      </c>
      <c r="Y43" s="6">
        <f>IF( 'Amputation Summary'!$Q$33=2, S43, IF('Amputation Summary'!$Q$33=1,R43))</f>
        <v>0.17</v>
      </c>
      <c r="Z43" s="144">
        <v>16</v>
      </c>
      <c r="AA43" s="65">
        <v>6</v>
      </c>
      <c r="AB43">
        <f t="shared" si="8"/>
        <v>10</v>
      </c>
      <c r="AC43">
        <v>60</v>
      </c>
      <c r="AD43">
        <f t="shared" si="9"/>
        <v>44</v>
      </c>
      <c r="AE43">
        <v>54</v>
      </c>
      <c r="AF43" s="40">
        <f t="shared" si="10"/>
        <v>54</v>
      </c>
      <c r="AG43" s="9">
        <f>IF('Amputation Summary'!$O$4=2, M43, IF('Amputation Summary'!$O$4=1,Z43))</f>
        <v>16</v>
      </c>
      <c r="AH43" s="9">
        <f>IF('Amputation Summary'!$O$4=2, P43, IF('Amputation Summary'!$O$4=1,AB43))</f>
        <v>10</v>
      </c>
      <c r="AI43" s="9">
        <f>IF('Amputation Summary'!$O$4=2, Q43, IF('Amputation Summary'!$O$4=1,AD43))</f>
        <v>44</v>
      </c>
      <c r="AJ43">
        <v>1</v>
      </c>
      <c r="AK43" s="108">
        <f t="shared" si="14"/>
        <v>0.27999999999999997</v>
      </c>
      <c r="AL43" s="108">
        <f t="shared" si="15"/>
        <v>0.17000000000000004</v>
      </c>
      <c r="AM43">
        <v>7</v>
      </c>
    </row>
    <row r="44" spans="1:39" x14ac:dyDescent="0.25">
      <c r="A44" t="s">
        <v>92</v>
      </c>
      <c r="B44" t="s">
        <v>93</v>
      </c>
      <c r="C44" s="144">
        <v>72</v>
      </c>
      <c r="D44" s="65">
        <v>182</v>
      </c>
      <c r="E44" s="65" t="s">
        <v>378</v>
      </c>
      <c r="F44" s="146">
        <v>0.80500000000000005</v>
      </c>
      <c r="G44" s="65">
        <v>27</v>
      </c>
      <c r="H44" s="65">
        <v>45</v>
      </c>
      <c r="I44" s="147">
        <v>0.6</v>
      </c>
      <c r="J44" s="147">
        <v>0.37</v>
      </c>
      <c r="K44" s="147">
        <v>0.97</v>
      </c>
      <c r="L44" s="65" t="s">
        <v>837</v>
      </c>
      <c r="M44" s="148">
        <v>80.5</v>
      </c>
      <c r="N44" s="148">
        <v>65.100000000000009</v>
      </c>
      <c r="O44" s="148">
        <v>91.2</v>
      </c>
      <c r="P44" s="127">
        <f t="shared" si="6"/>
        <v>15.399999999999991</v>
      </c>
      <c r="Q44" s="127">
        <f t="shared" si="7"/>
        <v>10.700000000000003</v>
      </c>
      <c r="R44" s="145">
        <v>0.99</v>
      </c>
      <c r="S44" s="145">
        <v>0.99</v>
      </c>
      <c r="T44" s="146">
        <v>1.4999999999999999E-2</v>
      </c>
      <c r="U44" t="str">
        <f t="shared" si="11"/>
        <v>RVJ</v>
      </c>
      <c r="V44">
        <f t="shared" si="12"/>
        <v>4</v>
      </c>
      <c r="W44">
        <f t="shared" si="13"/>
        <v>3</v>
      </c>
      <c r="X44" s="40">
        <f>IF('Amputation Summary'!$Q$33=2,RANK(S44,S$8:S$74,1)+COUNTIF($S$8:S44,S44)-1,IF('Amputation Summary'!$Q$33=1,RANK(R44,R$8:R$74,1)+COUNTIF($R44:R44,R44)-1))</f>
        <v>55</v>
      </c>
      <c r="Y44" s="6">
        <f>IF( 'Amputation Summary'!$Q$33=2, S44, IF('Amputation Summary'!$Q$33=1,R44))</f>
        <v>0.99</v>
      </c>
      <c r="Z44" s="144">
        <v>7</v>
      </c>
      <c r="AA44" s="65">
        <v>3</v>
      </c>
      <c r="AB44">
        <f t="shared" si="8"/>
        <v>4</v>
      </c>
      <c r="AC44">
        <v>16</v>
      </c>
      <c r="AD44">
        <f t="shared" si="9"/>
        <v>9</v>
      </c>
      <c r="AE44">
        <v>25</v>
      </c>
      <c r="AF44" s="40">
        <f t="shared" si="10"/>
        <v>25</v>
      </c>
      <c r="AG44" s="9">
        <f>IF('Amputation Summary'!$O$4=2, M44, IF('Amputation Summary'!$O$4=1,Z44))</f>
        <v>7</v>
      </c>
      <c r="AH44" s="9">
        <f>IF('Amputation Summary'!$O$4=2, P44, IF('Amputation Summary'!$O$4=1,AB44))</f>
        <v>4</v>
      </c>
      <c r="AI44" s="9">
        <f>IF('Amputation Summary'!$O$4=2, Q44, IF('Amputation Summary'!$O$4=1,AD44))</f>
        <v>9</v>
      </c>
      <c r="AJ44">
        <v>1</v>
      </c>
      <c r="AK44" s="108">
        <f t="shared" si="14"/>
        <v>0.37</v>
      </c>
      <c r="AL44" s="108">
        <f t="shared" si="15"/>
        <v>0.22999999999999998</v>
      </c>
      <c r="AM44">
        <v>11</v>
      </c>
    </row>
    <row r="45" spans="1:39" x14ac:dyDescent="0.25">
      <c r="A45" t="s">
        <v>433</v>
      </c>
      <c r="B45" t="s">
        <v>353</v>
      </c>
      <c r="C45" s="144">
        <v>28</v>
      </c>
      <c r="D45" s="65">
        <v>92</v>
      </c>
      <c r="E45" s="65" t="s">
        <v>783</v>
      </c>
      <c r="F45" s="146">
        <v>0.66700000000000004</v>
      </c>
      <c r="G45" s="65">
        <v>15</v>
      </c>
      <c r="H45" s="65">
        <v>13</v>
      </c>
      <c r="I45" s="147">
        <v>1.1499999999999999</v>
      </c>
      <c r="J45" s="147">
        <v>0.55000000000000004</v>
      </c>
      <c r="K45" s="147">
        <v>2.42</v>
      </c>
      <c r="L45" s="65" t="s">
        <v>833</v>
      </c>
      <c r="M45" s="148">
        <v>66.7</v>
      </c>
      <c r="N45" s="148">
        <v>41</v>
      </c>
      <c r="O45" s="148">
        <v>86.7</v>
      </c>
      <c r="P45" s="127">
        <f t="shared" si="6"/>
        <v>25.700000000000003</v>
      </c>
      <c r="Q45" s="127">
        <f t="shared" si="7"/>
        <v>20</v>
      </c>
      <c r="R45" s="145">
        <v>0.82</v>
      </c>
      <c r="S45" s="145">
        <v>0.71</v>
      </c>
      <c r="T45" s="146">
        <v>9.2999999999999999E-2</v>
      </c>
      <c r="U45" t="str">
        <f t="shared" si="11"/>
        <v>RNN</v>
      </c>
      <c r="V45">
        <f t="shared" si="12"/>
        <v>2</v>
      </c>
      <c r="W45">
        <f t="shared" si="13"/>
        <v>1</v>
      </c>
      <c r="X45" s="40">
        <f>IF('Amputation Summary'!$Q$33=2,RANK(S45,S$8:S$74,1)+COUNTIF($S$8:S45,S45)-1,IF('Amputation Summary'!$Q$33=1,RANK(R45,R$8:R$74,1)+COUNTIF($R45:R45,R45)-1))</f>
        <v>27</v>
      </c>
      <c r="Y45" s="6">
        <f>IF( 'Amputation Summary'!$Q$33=2, S45, IF('Amputation Summary'!$Q$33=1,R45))</f>
        <v>0.82</v>
      </c>
      <c r="Z45" s="144">
        <v>12</v>
      </c>
      <c r="AA45" s="65">
        <v>6</v>
      </c>
      <c r="AB45">
        <f t="shared" si="8"/>
        <v>6</v>
      </c>
      <c r="AC45">
        <v>43</v>
      </c>
      <c r="AD45">
        <f t="shared" si="9"/>
        <v>31</v>
      </c>
      <c r="AE45">
        <v>45</v>
      </c>
      <c r="AF45" s="40">
        <f t="shared" si="10"/>
        <v>45</v>
      </c>
      <c r="AG45" s="9">
        <f>IF('Amputation Summary'!$O$4=2, M45, IF('Amputation Summary'!$O$4=1,Z45))</f>
        <v>12</v>
      </c>
      <c r="AH45" s="9">
        <f>IF('Amputation Summary'!$O$4=2, P45, IF('Amputation Summary'!$O$4=1,AB45))</f>
        <v>6</v>
      </c>
      <c r="AI45" s="9">
        <f>IF('Amputation Summary'!$O$4=2, Q45, IF('Amputation Summary'!$O$4=1,AD45))</f>
        <v>31</v>
      </c>
      <c r="AJ45">
        <v>1</v>
      </c>
      <c r="AK45" s="108">
        <f t="shared" si="14"/>
        <v>1.27</v>
      </c>
      <c r="AL45" s="108">
        <f t="shared" si="15"/>
        <v>0.59999999999999987</v>
      </c>
      <c r="AM45">
        <v>40</v>
      </c>
    </row>
    <row r="46" spans="1:39" x14ac:dyDescent="0.25">
      <c r="A46" t="s">
        <v>66</v>
      </c>
      <c r="B46" t="s">
        <v>67</v>
      </c>
      <c r="C46" s="144">
        <v>21</v>
      </c>
      <c r="D46" s="65">
        <v>90</v>
      </c>
      <c r="E46" s="65" t="s">
        <v>784</v>
      </c>
      <c r="F46" s="146">
        <v>0.83299999999999996</v>
      </c>
      <c r="G46" s="65">
        <v>13</v>
      </c>
      <c r="H46" s="65">
        <v>8</v>
      </c>
      <c r="I46" s="147">
        <v>1.63</v>
      </c>
      <c r="J46" s="147">
        <v>0.67</v>
      </c>
      <c r="K46" s="147">
        <v>3.92</v>
      </c>
      <c r="L46" s="65" t="s">
        <v>838</v>
      </c>
      <c r="M46" s="148">
        <v>83.3</v>
      </c>
      <c r="N46" s="148">
        <v>51.6</v>
      </c>
      <c r="O46" s="148">
        <v>97.899999999999991</v>
      </c>
      <c r="P46" s="127">
        <f t="shared" si="6"/>
        <v>31.699999999999996</v>
      </c>
      <c r="Q46" s="127">
        <f t="shared" si="7"/>
        <v>14.599999999999994</v>
      </c>
      <c r="R46" s="145">
        <v>0.9</v>
      </c>
      <c r="S46" s="145">
        <v>1</v>
      </c>
      <c r="T46" s="146">
        <v>4.2000000000000003E-2</v>
      </c>
      <c r="U46" t="str">
        <f t="shared" si="11"/>
        <v>RNS</v>
      </c>
      <c r="V46">
        <f t="shared" si="12"/>
        <v>3</v>
      </c>
      <c r="W46">
        <f t="shared" si="13"/>
        <v>4</v>
      </c>
      <c r="X46" s="40">
        <f>IF('Amputation Summary'!$Q$33=2,RANK(S46,S$8:S$74,1)+COUNTIF($S$8:S46,S46)-1,IF('Amputation Summary'!$Q$33=1,RANK(R46,R$8:R$74,1)+COUNTIF($R46:R46,R46)-1))</f>
        <v>43</v>
      </c>
      <c r="Y46" s="6">
        <f>IF( 'Amputation Summary'!$Q$33=2, S46, IF('Amputation Summary'!$Q$33=1,R46))</f>
        <v>0.9</v>
      </c>
      <c r="Z46" s="144">
        <v>5</v>
      </c>
      <c r="AA46" s="65">
        <v>1</v>
      </c>
      <c r="AB46">
        <f t="shared" si="8"/>
        <v>4</v>
      </c>
      <c r="AC46">
        <v>14</v>
      </c>
      <c r="AD46">
        <f t="shared" si="9"/>
        <v>9</v>
      </c>
      <c r="AE46">
        <v>7</v>
      </c>
      <c r="AF46" s="40">
        <f t="shared" si="10"/>
        <v>7</v>
      </c>
      <c r="AG46" s="9">
        <f>IF('Amputation Summary'!$O$4=2, M46, IF('Amputation Summary'!$O$4=1,Z46))</f>
        <v>5</v>
      </c>
      <c r="AH46" s="9">
        <f>IF('Amputation Summary'!$O$4=2, P46, IF('Amputation Summary'!$O$4=1,AB46))</f>
        <v>4</v>
      </c>
      <c r="AI46" s="9">
        <f>IF('Amputation Summary'!$O$4=2, Q46, IF('Amputation Summary'!$O$4=1,AD46))</f>
        <v>9</v>
      </c>
      <c r="AJ46">
        <v>1</v>
      </c>
      <c r="AK46" s="108">
        <f t="shared" si="14"/>
        <v>2.29</v>
      </c>
      <c r="AL46" s="108">
        <f t="shared" si="15"/>
        <v>0.95999999999999985</v>
      </c>
      <c r="AM46">
        <v>52</v>
      </c>
    </row>
    <row r="47" spans="1:39" x14ac:dyDescent="0.25">
      <c r="A47" t="s">
        <v>429</v>
      </c>
      <c r="B47" t="s">
        <v>430</v>
      </c>
      <c r="C47" s="144">
        <v>63</v>
      </c>
      <c r="D47" s="65">
        <v>203</v>
      </c>
      <c r="E47" s="65" t="s">
        <v>198</v>
      </c>
      <c r="F47" s="146">
        <v>0.98199999999999998</v>
      </c>
      <c r="G47" s="65">
        <v>30</v>
      </c>
      <c r="H47" s="65">
        <v>33</v>
      </c>
      <c r="I47" s="147">
        <v>0.91</v>
      </c>
      <c r="J47" s="147">
        <v>0.55000000000000004</v>
      </c>
      <c r="K47" s="147">
        <v>1.49</v>
      </c>
      <c r="L47" s="65" t="s">
        <v>456</v>
      </c>
      <c r="M47" s="148">
        <v>98.2</v>
      </c>
      <c r="N47" s="148">
        <v>90.3</v>
      </c>
      <c r="O47" s="148">
        <v>100</v>
      </c>
      <c r="P47" s="127">
        <f t="shared" si="6"/>
        <v>7.9000000000000057</v>
      </c>
      <c r="Q47" s="127">
        <f t="shared" si="7"/>
        <v>1.7999999999999972</v>
      </c>
      <c r="R47" s="145">
        <v>0.92</v>
      </c>
      <c r="S47" s="145">
        <v>1</v>
      </c>
      <c r="T47" s="146">
        <v>0.111</v>
      </c>
      <c r="U47" t="str">
        <f t="shared" si="11"/>
        <v>RM3</v>
      </c>
      <c r="V47">
        <f t="shared" si="12"/>
        <v>3</v>
      </c>
      <c r="W47">
        <f t="shared" si="13"/>
        <v>4</v>
      </c>
      <c r="X47" s="40">
        <f>IF('Amputation Summary'!$Q$33=2,RANK(S47,S$8:S$74,1)+COUNTIF($S$8:S47,S47)-1,IF('Amputation Summary'!$Q$33=1,RANK(R47,R$8:R$74,1)+COUNTIF($R47:R47,R47)-1))</f>
        <v>47</v>
      </c>
      <c r="Y47" s="6">
        <f>IF( 'Amputation Summary'!$Q$33=2, S47, IF('Amputation Summary'!$Q$33=1,R47))</f>
        <v>0.92</v>
      </c>
      <c r="Z47" s="144">
        <v>3</v>
      </c>
      <c r="AA47" s="65">
        <v>1</v>
      </c>
      <c r="AB47">
        <f t="shared" si="8"/>
        <v>2</v>
      </c>
      <c r="AC47">
        <v>6</v>
      </c>
      <c r="AD47">
        <f t="shared" si="9"/>
        <v>3</v>
      </c>
      <c r="AE47">
        <v>3</v>
      </c>
      <c r="AF47" s="40">
        <f t="shared" si="10"/>
        <v>3</v>
      </c>
      <c r="AG47" s="9">
        <f>IF('Amputation Summary'!$O$4=2, M47, IF('Amputation Summary'!$O$4=1,Z47))</f>
        <v>3</v>
      </c>
      <c r="AH47" s="9">
        <f>IF('Amputation Summary'!$O$4=2, P47, IF('Amputation Summary'!$O$4=1,AB47))</f>
        <v>2</v>
      </c>
      <c r="AI47" s="9">
        <f>IF('Amputation Summary'!$O$4=2, Q47, IF('Amputation Summary'!$O$4=1,AD47))</f>
        <v>3</v>
      </c>
      <c r="AJ47">
        <v>1</v>
      </c>
      <c r="AK47" s="108">
        <f t="shared" si="14"/>
        <v>0.57999999999999996</v>
      </c>
      <c r="AL47" s="108">
        <f t="shared" si="15"/>
        <v>0.36</v>
      </c>
      <c r="AM47">
        <v>30</v>
      </c>
    </row>
    <row r="48" spans="1:39" x14ac:dyDescent="0.25">
      <c r="A48" t="s">
        <v>109</v>
      </c>
      <c r="B48" t="s">
        <v>110</v>
      </c>
      <c r="C48" s="144">
        <v>91</v>
      </c>
      <c r="D48" s="65">
        <v>249</v>
      </c>
      <c r="E48" s="65" t="s">
        <v>785</v>
      </c>
      <c r="F48" s="146">
        <v>0.872</v>
      </c>
      <c r="G48" s="65">
        <v>41</v>
      </c>
      <c r="H48" s="65">
        <v>50</v>
      </c>
      <c r="I48" s="147">
        <v>0.82</v>
      </c>
      <c r="J48" s="147">
        <v>0.54</v>
      </c>
      <c r="K48" s="147">
        <v>1.24</v>
      </c>
      <c r="L48" s="65" t="s">
        <v>839</v>
      </c>
      <c r="M48" s="148">
        <v>87.2</v>
      </c>
      <c r="N48" s="148">
        <v>74.3</v>
      </c>
      <c r="O48" s="148">
        <v>95.199999999999989</v>
      </c>
      <c r="P48" s="127">
        <f t="shared" si="6"/>
        <v>12.900000000000006</v>
      </c>
      <c r="Q48" s="127">
        <f t="shared" si="7"/>
        <v>7.9999999999999858</v>
      </c>
      <c r="R48" s="145">
        <v>0.38</v>
      </c>
      <c r="S48" s="145">
        <v>0.73</v>
      </c>
      <c r="T48" s="146">
        <v>8.3000000000000004E-2</v>
      </c>
      <c r="U48" t="str">
        <f t="shared" si="11"/>
        <v>RX1</v>
      </c>
      <c r="V48">
        <f t="shared" si="12"/>
        <v>1</v>
      </c>
      <c r="W48">
        <f t="shared" si="13"/>
        <v>1</v>
      </c>
      <c r="X48" s="40">
        <f>IF('Amputation Summary'!$Q$33=2,RANK(S48,S$8:S$74,1)+COUNTIF($S$8:S48,S48)-1,IF('Amputation Summary'!$Q$33=1,RANK(R48,R$8:R$74,1)+COUNTIF($R48:R48,R48)-1))</f>
        <v>3</v>
      </c>
      <c r="Y48" s="6">
        <f>IF( 'Amputation Summary'!$Q$33=2, S48, IF('Amputation Summary'!$Q$33=1,R48))</f>
        <v>0.38</v>
      </c>
      <c r="Z48" s="144">
        <v>8</v>
      </c>
      <c r="AA48" s="65">
        <v>4</v>
      </c>
      <c r="AB48">
        <f t="shared" si="8"/>
        <v>4</v>
      </c>
      <c r="AC48">
        <v>19</v>
      </c>
      <c r="AD48">
        <f t="shared" si="9"/>
        <v>11</v>
      </c>
      <c r="AE48">
        <v>30</v>
      </c>
      <c r="AF48" s="40">
        <f t="shared" si="10"/>
        <v>30</v>
      </c>
      <c r="AG48" s="9">
        <f>IF('Amputation Summary'!$O$4=2, M48, IF('Amputation Summary'!$O$4=1,Z48))</f>
        <v>8</v>
      </c>
      <c r="AH48" s="9">
        <f>IF('Amputation Summary'!$O$4=2, P48, IF('Amputation Summary'!$O$4=1,AB48))</f>
        <v>4</v>
      </c>
      <c r="AI48" s="9">
        <f>IF('Amputation Summary'!$O$4=2, Q48, IF('Amputation Summary'!$O$4=1,AD48))</f>
        <v>11</v>
      </c>
      <c r="AJ48">
        <v>1</v>
      </c>
      <c r="AK48" s="108">
        <f t="shared" si="14"/>
        <v>0.42000000000000004</v>
      </c>
      <c r="AL48" s="108">
        <f t="shared" si="15"/>
        <v>0.27999999999999992</v>
      </c>
      <c r="AM48">
        <v>24</v>
      </c>
    </row>
    <row r="49" spans="1:39" x14ac:dyDescent="0.25">
      <c r="A49" t="s">
        <v>88</v>
      </c>
      <c r="B49" t="s">
        <v>298</v>
      </c>
      <c r="C49" s="144">
        <v>40</v>
      </c>
      <c r="D49" s="65">
        <v>100</v>
      </c>
      <c r="E49" s="65" t="s">
        <v>786</v>
      </c>
      <c r="F49" s="146">
        <v>0.76700000000000002</v>
      </c>
      <c r="G49" s="65">
        <v>11</v>
      </c>
      <c r="H49" s="65">
        <v>29</v>
      </c>
      <c r="I49" s="147">
        <v>0.38</v>
      </c>
      <c r="J49" s="147">
        <v>0.19</v>
      </c>
      <c r="K49" s="147">
        <v>0.76</v>
      </c>
      <c r="L49" s="65" t="s">
        <v>840</v>
      </c>
      <c r="M49" s="148">
        <v>76.7</v>
      </c>
      <c r="N49" s="148">
        <v>57.699999999999996</v>
      </c>
      <c r="O49" s="148">
        <v>90.100000000000009</v>
      </c>
      <c r="P49" s="127">
        <f t="shared" si="6"/>
        <v>19.000000000000007</v>
      </c>
      <c r="Q49" s="127">
        <f t="shared" si="7"/>
        <v>13.400000000000006</v>
      </c>
      <c r="R49" s="145">
        <v>0.98</v>
      </c>
      <c r="S49" s="145">
        <v>1</v>
      </c>
      <c r="T49" s="146">
        <v>5.2999999999999999E-2</v>
      </c>
      <c r="U49" t="str">
        <f t="shared" si="11"/>
        <v>RTH</v>
      </c>
      <c r="V49">
        <f t="shared" si="12"/>
        <v>4</v>
      </c>
      <c r="W49">
        <f t="shared" si="13"/>
        <v>4</v>
      </c>
      <c r="X49" s="40">
        <f>IF('Amputation Summary'!$Q$33=2,RANK(S49,S$8:S$74,1)+COUNTIF($S$8:S49,S49)-1,IF('Amputation Summary'!$Q$33=1,RANK(R49,R$8:R$74,1)+COUNTIF($R49:R49,R49)-1))</f>
        <v>52</v>
      </c>
      <c r="Y49" s="6">
        <f>IF( 'Amputation Summary'!$Q$33=2, S49, IF('Amputation Summary'!$Q$33=1,R49))</f>
        <v>0.98</v>
      </c>
      <c r="Z49" s="144">
        <v>11</v>
      </c>
      <c r="AA49" s="65">
        <v>5</v>
      </c>
      <c r="AB49">
        <f t="shared" si="8"/>
        <v>6</v>
      </c>
      <c r="AC49">
        <v>23</v>
      </c>
      <c r="AD49">
        <f t="shared" si="9"/>
        <v>12</v>
      </c>
      <c r="AE49">
        <v>41</v>
      </c>
      <c r="AF49" s="40">
        <f t="shared" si="10"/>
        <v>41</v>
      </c>
      <c r="AG49" s="9">
        <f>IF('Amputation Summary'!$O$4=2, M49, IF('Amputation Summary'!$O$4=1,Z49))</f>
        <v>11</v>
      </c>
      <c r="AH49" s="9">
        <f>IF('Amputation Summary'!$O$4=2, P49, IF('Amputation Summary'!$O$4=1,AB49))</f>
        <v>6</v>
      </c>
      <c r="AI49" s="9">
        <f>IF('Amputation Summary'!$O$4=2, Q49, IF('Amputation Summary'!$O$4=1,AD49))</f>
        <v>12</v>
      </c>
      <c r="AJ49">
        <v>1</v>
      </c>
      <c r="AK49" s="108">
        <f t="shared" si="14"/>
        <v>0.38</v>
      </c>
      <c r="AL49" s="108">
        <f t="shared" si="15"/>
        <v>0.19</v>
      </c>
      <c r="AM49">
        <v>4</v>
      </c>
    </row>
    <row r="50" spans="1:39" x14ac:dyDescent="0.25">
      <c r="A50" t="s">
        <v>71</v>
      </c>
      <c r="B50" t="s">
        <v>72</v>
      </c>
      <c r="C50" s="144">
        <v>4</v>
      </c>
      <c r="D50" s="65">
        <v>15</v>
      </c>
      <c r="E50" s="65" t="s">
        <v>227</v>
      </c>
      <c r="F50" s="146" t="s">
        <v>227</v>
      </c>
      <c r="G50" s="65">
        <v>1</v>
      </c>
      <c r="H50" s="65">
        <v>3</v>
      </c>
      <c r="I50" s="147" t="s">
        <v>227</v>
      </c>
      <c r="J50" s="147" t="s">
        <v>227</v>
      </c>
      <c r="K50" s="147" t="s">
        <v>227</v>
      </c>
      <c r="L50" s="65" t="s">
        <v>841</v>
      </c>
      <c r="M50" s="148" t="s">
        <v>227</v>
      </c>
      <c r="N50" s="148" t="s">
        <v>227</v>
      </c>
      <c r="O50" s="148" t="s">
        <v>227</v>
      </c>
      <c r="P50" s="127" t="e">
        <f t="shared" si="6"/>
        <v>#VALUE!</v>
      </c>
      <c r="Q50" s="127" t="e">
        <f t="shared" si="7"/>
        <v>#VALUE!</v>
      </c>
      <c r="R50" s="145">
        <v>1</v>
      </c>
      <c r="S50" s="145">
        <v>1</v>
      </c>
      <c r="T50" s="146">
        <v>0.191</v>
      </c>
      <c r="U50" t="str">
        <f t="shared" si="11"/>
        <v>RQW</v>
      </c>
      <c r="V50">
        <f t="shared" si="12"/>
        <v>4</v>
      </c>
      <c r="W50">
        <f t="shared" si="13"/>
        <v>4</v>
      </c>
      <c r="X50" s="40">
        <f>IF('Amputation Summary'!$Q$33=2,RANK(S50,S$8:S$74,1)+COUNTIF($S$8:S50,S50)-1,IF('Amputation Summary'!$Q$33=1,RANK(R50,R$8:R$74,1)+COUNTIF($R50:R50,R50)-1))</f>
        <v>57</v>
      </c>
      <c r="Y50" s="6">
        <f>IF( 'Amputation Summary'!$Q$33=2, S50, IF('Amputation Summary'!$Q$33=1,R50))</f>
        <v>1</v>
      </c>
      <c r="Z50" s="144" t="s">
        <v>227</v>
      </c>
      <c r="AA50" s="65" t="s">
        <v>227</v>
      </c>
      <c r="AB50" t="e">
        <f t="shared" si="8"/>
        <v>#VALUE!</v>
      </c>
      <c r="AC50" t="s">
        <v>227</v>
      </c>
      <c r="AD50" t="e">
        <f t="shared" si="9"/>
        <v>#VALUE!</v>
      </c>
      <c r="AE50">
        <v>58</v>
      </c>
      <c r="AF50" s="40">
        <f t="shared" si="10"/>
        <v>58</v>
      </c>
      <c r="AG50" s="9" t="str">
        <f>IF('Amputation Summary'!$O$4=2, M50, IF('Amputation Summary'!$O$4=1,Z50))</f>
        <v>xx</v>
      </c>
      <c r="AH50" s="9" t="e">
        <f>IF('Amputation Summary'!$O$4=2, P50, IF('Amputation Summary'!$O$4=1,AB50))</f>
        <v>#VALUE!</v>
      </c>
      <c r="AI50" s="9" t="e">
        <f>IF('Amputation Summary'!$O$4=2, Q50, IF('Amputation Summary'!$O$4=1,AD50))</f>
        <v>#VALUE!</v>
      </c>
      <c r="AJ50">
        <v>1</v>
      </c>
      <c r="AK50" s="108" t="e">
        <f t="shared" si="14"/>
        <v>#VALUE!</v>
      </c>
      <c r="AL50" s="108" t="e">
        <f t="shared" si="15"/>
        <v>#VALUE!</v>
      </c>
      <c r="AM50">
        <v>62</v>
      </c>
    </row>
    <row r="51" spans="1:39" x14ac:dyDescent="0.25">
      <c r="A51" t="s">
        <v>27</v>
      </c>
      <c r="B51" t="s">
        <v>28</v>
      </c>
      <c r="C51" s="144">
        <v>31</v>
      </c>
      <c r="D51" s="65">
        <v>102</v>
      </c>
      <c r="E51" s="65" t="s">
        <v>787</v>
      </c>
      <c r="F51" s="146">
        <v>0.66700000000000004</v>
      </c>
      <c r="G51" s="65">
        <v>18</v>
      </c>
      <c r="H51" s="65">
        <v>13</v>
      </c>
      <c r="I51" s="147">
        <v>1.38</v>
      </c>
      <c r="J51" s="147">
        <v>0.68</v>
      </c>
      <c r="K51" s="147">
        <v>2.83</v>
      </c>
      <c r="L51" s="65" t="s">
        <v>842</v>
      </c>
      <c r="M51" s="148">
        <v>66.7</v>
      </c>
      <c r="N51" s="148">
        <v>43</v>
      </c>
      <c r="O51" s="148">
        <v>85.399999999999991</v>
      </c>
      <c r="P51" s="127">
        <f t="shared" si="6"/>
        <v>23.700000000000003</v>
      </c>
      <c r="Q51" s="127">
        <f t="shared" si="7"/>
        <v>18.699999999999989</v>
      </c>
      <c r="R51" s="145">
        <v>0.61</v>
      </c>
      <c r="S51" s="145">
        <v>0.81</v>
      </c>
      <c r="T51" s="146">
        <v>3.5999999999999997E-2</v>
      </c>
      <c r="U51" t="str">
        <f t="shared" si="11"/>
        <v>REF</v>
      </c>
      <c r="V51">
        <f t="shared" si="12"/>
        <v>1</v>
      </c>
      <c r="W51">
        <f t="shared" si="13"/>
        <v>1</v>
      </c>
      <c r="X51" s="40">
        <f>IF('Amputation Summary'!$Q$33=2,RANK(S51,S$8:S$74,1)+COUNTIF($S$8:S51,S51)-1,IF('Amputation Summary'!$Q$33=1,RANK(R51,R$8:R$74,1)+COUNTIF($R51:R51,R51)-1))</f>
        <v>11</v>
      </c>
      <c r="Y51" s="6">
        <f>IF( 'Amputation Summary'!$Q$33=2, S51, IF('Amputation Summary'!$Q$33=1,R51))</f>
        <v>0.61</v>
      </c>
      <c r="Z51" s="144">
        <v>13</v>
      </c>
      <c r="AA51" s="65">
        <v>3</v>
      </c>
      <c r="AB51">
        <f t="shared" si="8"/>
        <v>10</v>
      </c>
      <c r="AC51">
        <v>45</v>
      </c>
      <c r="AD51">
        <f t="shared" si="9"/>
        <v>32</v>
      </c>
      <c r="AE51">
        <v>49</v>
      </c>
      <c r="AF51" s="40">
        <f t="shared" si="10"/>
        <v>49</v>
      </c>
      <c r="AG51" s="9">
        <f>IF('Amputation Summary'!$O$4=2, M51, IF('Amputation Summary'!$O$4=1,Z51))</f>
        <v>13</v>
      </c>
      <c r="AH51" s="9">
        <f>IF('Amputation Summary'!$O$4=2, P51, IF('Amputation Summary'!$O$4=1,AB51))</f>
        <v>10</v>
      </c>
      <c r="AI51" s="9">
        <f>IF('Amputation Summary'!$O$4=2, Q51, IF('Amputation Summary'!$O$4=1,AD51))</f>
        <v>32</v>
      </c>
      <c r="AJ51">
        <v>1</v>
      </c>
      <c r="AK51" s="108">
        <f t="shared" si="14"/>
        <v>1.4500000000000002</v>
      </c>
      <c r="AL51" s="108">
        <f t="shared" si="15"/>
        <v>0.69999999999999984</v>
      </c>
      <c r="AM51">
        <v>49</v>
      </c>
    </row>
    <row r="52" spans="1:39" x14ac:dyDescent="0.25">
      <c r="A52" t="s">
        <v>37</v>
      </c>
      <c r="B52" t="s">
        <v>596</v>
      </c>
      <c r="C52" s="144">
        <v>50</v>
      </c>
      <c r="D52" s="65">
        <v>127</v>
      </c>
      <c r="E52" s="65" t="s">
        <v>788</v>
      </c>
      <c r="F52" s="146">
        <v>0.81299999999999994</v>
      </c>
      <c r="G52" s="65">
        <v>26</v>
      </c>
      <c r="H52" s="65">
        <v>24</v>
      </c>
      <c r="I52" s="147">
        <v>1.08</v>
      </c>
      <c r="J52" s="147">
        <v>0.62</v>
      </c>
      <c r="K52" s="147">
        <v>1.89</v>
      </c>
      <c r="L52" s="65" t="s">
        <v>843</v>
      </c>
      <c r="M52" s="148">
        <v>81.3</v>
      </c>
      <c r="N52" s="148">
        <v>54.400000000000006</v>
      </c>
      <c r="O52" s="148">
        <v>96</v>
      </c>
      <c r="P52" s="127">
        <f t="shared" si="6"/>
        <v>26.899999999999991</v>
      </c>
      <c r="Q52" s="127">
        <f t="shared" si="7"/>
        <v>14.700000000000003</v>
      </c>
      <c r="R52" s="145">
        <v>0.88</v>
      </c>
      <c r="S52" s="145">
        <v>1</v>
      </c>
      <c r="T52" s="146">
        <v>0.03</v>
      </c>
      <c r="U52" t="str">
        <f t="shared" si="11"/>
        <v>RH8</v>
      </c>
      <c r="V52">
        <f t="shared" si="12"/>
        <v>3</v>
      </c>
      <c r="W52">
        <f t="shared" si="13"/>
        <v>4</v>
      </c>
      <c r="X52" s="40">
        <f>IF('Amputation Summary'!$Q$33=2,RANK(S52,S$8:S$74,1)+COUNTIF($S$8:S52,S52)-1,IF('Amputation Summary'!$Q$33=1,RANK(R52,R$8:R$74,1)+COUNTIF($R52:R52,R52)-1))</f>
        <v>35</v>
      </c>
      <c r="Y52" s="6">
        <f>IF( 'Amputation Summary'!$Q$33=2, S52, IF('Amputation Summary'!$Q$33=1,R52))</f>
        <v>0.88</v>
      </c>
      <c r="Z52" s="144">
        <v>7</v>
      </c>
      <c r="AA52" s="65">
        <v>2</v>
      </c>
      <c r="AB52">
        <f t="shared" si="8"/>
        <v>5</v>
      </c>
      <c r="AC52">
        <v>13</v>
      </c>
      <c r="AD52">
        <f t="shared" si="9"/>
        <v>6</v>
      </c>
      <c r="AE52">
        <v>17</v>
      </c>
      <c r="AF52" s="40">
        <f t="shared" si="10"/>
        <v>17</v>
      </c>
      <c r="AG52" s="9">
        <f>IF('Amputation Summary'!$O$4=2, M52, IF('Amputation Summary'!$O$4=1,Z52))</f>
        <v>7</v>
      </c>
      <c r="AH52" s="9">
        <f>IF('Amputation Summary'!$O$4=2, P52, IF('Amputation Summary'!$O$4=1,AB52))</f>
        <v>5</v>
      </c>
      <c r="AI52" s="9">
        <f>IF('Amputation Summary'!$O$4=2, Q52, IF('Amputation Summary'!$O$4=1,AD52))</f>
        <v>6</v>
      </c>
      <c r="AJ52">
        <v>1</v>
      </c>
      <c r="AK52" s="108">
        <f t="shared" si="14"/>
        <v>0.80999999999999983</v>
      </c>
      <c r="AL52" s="108">
        <f t="shared" si="15"/>
        <v>0.46000000000000008</v>
      </c>
      <c r="AM52">
        <v>37</v>
      </c>
    </row>
    <row r="53" spans="1:39" x14ac:dyDescent="0.25">
      <c r="A53" t="s">
        <v>18</v>
      </c>
      <c r="B53" t="s">
        <v>19</v>
      </c>
      <c r="C53" s="144">
        <v>6</v>
      </c>
      <c r="D53" s="65">
        <v>66</v>
      </c>
      <c r="E53" s="65" t="s">
        <v>227</v>
      </c>
      <c r="F53" s="146" t="s">
        <v>227</v>
      </c>
      <c r="G53" s="65">
        <v>2</v>
      </c>
      <c r="H53" s="65">
        <v>4</v>
      </c>
      <c r="I53" s="147" t="s">
        <v>227</v>
      </c>
      <c r="J53" s="147" t="s">
        <v>227</v>
      </c>
      <c r="K53" s="147" t="s">
        <v>227</v>
      </c>
      <c r="L53" s="65" t="s">
        <v>844</v>
      </c>
      <c r="M53" s="148" t="s">
        <v>227</v>
      </c>
      <c r="N53" s="148" t="s">
        <v>227</v>
      </c>
      <c r="O53" s="148" t="s">
        <v>227</v>
      </c>
      <c r="P53" s="127" t="e">
        <f t="shared" si="6"/>
        <v>#VALUE!</v>
      </c>
      <c r="Q53" s="127" t="e">
        <f t="shared" si="7"/>
        <v>#VALUE!</v>
      </c>
      <c r="R53" s="145">
        <v>1</v>
      </c>
      <c r="S53" s="145">
        <v>1</v>
      </c>
      <c r="T53" s="146">
        <v>0.08</v>
      </c>
      <c r="U53" t="str">
        <f t="shared" si="11"/>
        <v>RAL</v>
      </c>
      <c r="V53">
        <f t="shared" si="12"/>
        <v>4</v>
      </c>
      <c r="W53">
        <f t="shared" si="13"/>
        <v>4</v>
      </c>
      <c r="X53" s="40">
        <f>IF('Amputation Summary'!$Q$33=2,RANK(S53,S$8:S$74,1)+COUNTIF($S$8:S53,S53)-1,IF('Amputation Summary'!$Q$33=1,RANK(R53,R$8:R$74,1)+COUNTIF($R53:R53,R53)-1))</f>
        <v>57</v>
      </c>
      <c r="Y53" s="6">
        <f>IF( 'Amputation Summary'!$Q$33=2, S53, IF('Amputation Summary'!$Q$33=1,R53))</f>
        <v>1</v>
      </c>
      <c r="Z53" s="144" t="s">
        <v>227</v>
      </c>
      <c r="AA53" s="65" t="s">
        <v>227</v>
      </c>
      <c r="AB53" t="e">
        <f t="shared" si="8"/>
        <v>#VALUE!</v>
      </c>
      <c r="AC53" t="s">
        <v>227</v>
      </c>
      <c r="AD53" t="e">
        <f t="shared" si="9"/>
        <v>#VALUE!</v>
      </c>
      <c r="AE53">
        <v>65</v>
      </c>
      <c r="AF53" s="40">
        <f t="shared" si="10"/>
        <v>65</v>
      </c>
      <c r="AG53" s="9" t="str">
        <f>IF('Amputation Summary'!$O$4=2, M53, IF('Amputation Summary'!$O$4=1,Z53))</f>
        <v>xx</v>
      </c>
      <c r="AH53" s="9" t="e">
        <f>IF('Amputation Summary'!$O$4=2, P53, IF('Amputation Summary'!$O$4=1,AB53))</f>
        <v>#VALUE!</v>
      </c>
      <c r="AI53" s="9" t="e">
        <f>IF('Amputation Summary'!$O$4=2, Q53, IF('Amputation Summary'!$O$4=1,AD53))</f>
        <v>#VALUE!</v>
      </c>
      <c r="AJ53">
        <v>1</v>
      </c>
      <c r="AK53" s="108" t="e">
        <f t="shared" si="14"/>
        <v>#VALUE!</v>
      </c>
      <c r="AL53" s="108" t="e">
        <f t="shared" si="15"/>
        <v>#VALUE!</v>
      </c>
      <c r="AM53">
        <v>60</v>
      </c>
    </row>
    <row r="54" spans="1:39" x14ac:dyDescent="0.25">
      <c r="A54" t="s">
        <v>41</v>
      </c>
      <c r="B54" t="s">
        <v>42</v>
      </c>
      <c r="C54" s="144">
        <v>32</v>
      </c>
      <c r="D54" s="65">
        <v>66</v>
      </c>
      <c r="E54" s="65" t="s">
        <v>789</v>
      </c>
      <c r="F54" s="146">
        <v>0.625</v>
      </c>
      <c r="G54" s="65">
        <v>18</v>
      </c>
      <c r="H54" s="65">
        <v>14</v>
      </c>
      <c r="I54" s="147">
        <v>1.29</v>
      </c>
      <c r="J54" s="147">
        <v>0.64</v>
      </c>
      <c r="K54" s="147">
        <v>2.59</v>
      </c>
      <c r="L54" s="65" t="s">
        <v>845</v>
      </c>
      <c r="M54" s="148">
        <v>62.5</v>
      </c>
      <c r="N54" s="148">
        <v>35.4</v>
      </c>
      <c r="O54" s="148">
        <v>84.8</v>
      </c>
      <c r="P54" s="127">
        <f t="shared" si="6"/>
        <v>27.1</v>
      </c>
      <c r="Q54" s="127">
        <f t="shared" si="7"/>
        <v>22.299999999999997</v>
      </c>
      <c r="R54" s="145">
        <v>0.56000000000000005</v>
      </c>
      <c r="S54" s="145">
        <v>0.94</v>
      </c>
      <c r="T54" s="146">
        <v>5.8000000000000003E-2</v>
      </c>
      <c r="U54" t="str">
        <f t="shared" si="11"/>
        <v>RHQ</v>
      </c>
      <c r="V54">
        <f t="shared" si="12"/>
        <v>1</v>
      </c>
      <c r="W54">
        <f t="shared" si="13"/>
        <v>2</v>
      </c>
      <c r="X54" s="40">
        <f>IF('Amputation Summary'!$Q$33=2,RANK(S54,S$8:S$74,1)+COUNTIF($S$8:S54,S54)-1,IF('Amputation Summary'!$Q$33=1,RANK(R54,R$8:R$74,1)+COUNTIF($R54:R54,R54)-1))</f>
        <v>7</v>
      </c>
      <c r="Y54" s="6">
        <f>IF( 'Amputation Summary'!$Q$33=2, S54, IF('Amputation Summary'!$Q$33=1,R54))</f>
        <v>0.56000000000000005</v>
      </c>
      <c r="Z54" s="144">
        <v>14</v>
      </c>
      <c r="AA54" s="65">
        <v>4</v>
      </c>
      <c r="AB54">
        <f t="shared" si="8"/>
        <v>10</v>
      </c>
      <c r="AC54">
        <v>73</v>
      </c>
      <c r="AD54">
        <f t="shared" si="9"/>
        <v>59</v>
      </c>
      <c r="AE54">
        <v>52</v>
      </c>
      <c r="AF54" s="40">
        <f t="shared" si="10"/>
        <v>52</v>
      </c>
      <c r="AG54" s="9">
        <f>IF('Amputation Summary'!$O$4=2, M54, IF('Amputation Summary'!$O$4=1,Z54))</f>
        <v>14</v>
      </c>
      <c r="AH54" s="9">
        <f>IF('Amputation Summary'!$O$4=2, P54, IF('Amputation Summary'!$O$4=1,AB54))</f>
        <v>10</v>
      </c>
      <c r="AI54" s="9">
        <f>IF('Amputation Summary'!$O$4=2, Q54, IF('Amputation Summary'!$O$4=1,AD54))</f>
        <v>59</v>
      </c>
      <c r="AJ54">
        <v>1</v>
      </c>
      <c r="AK54" s="108">
        <f t="shared" si="14"/>
        <v>1.2999999999999998</v>
      </c>
      <c r="AL54" s="108">
        <f t="shared" si="15"/>
        <v>0.65</v>
      </c>
      <c r="AM54">
        <v>44</v>
      </c>
    </row>
    <row r="55" spans="1:39" x14ac:dyDescent="0.25">
      <c r="A55" t="s">
        <v>117</v>
      </c>
      <c r="B55" t="s">
        <v>118</v>
      </c>
      <c r="C55" s="144">
        <v>48</v>
      </c>
      <c r="D55" s="65">
        <v>120</v>
      </c>
      <c r="E55" s="65" t="s">
        <v>318</v>
      </c>
      <c r="F55" s="146">
        <v>0.82899999999999996</v>
      </c>
      <c r="G55" s="65">
        <v>29</v>
      </c>
      <c r="H55" s="65">
        <v>19</v>
      </c>
      <c r="I55" s="147">
        <v>1.53</v>
      </c>
      <c r="J55" s="147">
        <v>0.86</v>
      </c>
      <c r="K55" s="147">
        <v>2.72</v>
      </c>
      <c r="L55" s="65" t="s">
        <v>846</v>
      </c>
      <c r="M55" s="148">
        <v>82.899999999999991</v>
      </c>
      <c r="N55" s="148">
        <v>66.400000000000006</v>
      </c>
      <c r="O55" s="148">
        <v>93.4</v>
      </c>
      <c r="P55" s="127">
        <f t="shared" si="6"/>
        <v>16.499999999999986</v>
      </c>
      <c r="Q55" s="127">
        <f t="shared" si="7"/>
        <v>10.500000000000014</v>
      </c>
      <c r="R55" s="145">
        <v>0.9</v>
      </c>
      <c r="S55" s="145">
        <v>0.98</v>
      </c>
      <c r="T55" s="146">
        <v>7.3999999999999996E-2</v>
      </c>
      <c r="U55" t="str">
        <f t="shared" si="11"/>
        <v>RXW</v>
      </c>
      <c r="V55">
        <f t="shared" si="12"/>
        <v>3</v>
      </c>
      <c r="W55">
        <f t="shared" si="13"/>
        <v>3</v>
      </c>
      <c r="X55" s="40">
        <f>IF('Amputation Summary'!$Q$33=2,RANK(S55,S$8:S$74,1)+COUNTIF($S$8:S55,S55)-1,IF('Amputation Summary'!$Q$33=1,RANK(R55,R$8:R$74,1)+COUNTIF($R55:R55,R55)-1))</f>
        <v>43</v>
      </c>
      <c r="Y55" s="6">
        <f>IF( 'Amputation Summary'!$Q$33=2, S55, IF('Amputation Summary'!$Q$33=1,R55))</f>
        <v>0.9</v>
      </c>
      <c r="Z55" s="144">
        <v>3</v>
      </c>
      <c r="AA55" s="65">
        <v>1</v>
      </c>
      <c r="AB55">
        <f t="shared" si="8"/>
        <v>2</v>
      </c>
      <c r="AC55">
        <v>10</v>
      </c>
      <c r="AD55">
        <f t="shared" si="9"/>
        <v>7</v>
      </c>
      <c r="AE55">
        <v>2</v>
      </c>
      <c r="AF55" s="40">
        <f t="shared" si="10"/>
        <v>2</v>
      </c>
      <c r="AG55" s="9">
        <f>IF('Amputation Summary'!$O$4=2, M55, IF('Amputation Summary'!$O$4=1,Z55))</f>
        <v>3</v>
      </c>
      <c r="AH55" s="9">
        <f>IF('Amputation Summary'!$O$4=2, P55, IF('Amputation Summary'!$O$4=1,AB55))</f>
        <v>2</v>
      </c>
      <c r="AI55" s="9">
        <f>IF('Amputation Summary'!$O$4=2, Q55, IF('Amputation Summary'!$O$4=1,AD55))</f>
        <v>7</v>
      </c>
      <c r="AJ55">
        <v>1</v>
      </c>
      <c r="AK55" s="108">
        <f t="shared" si="14"/>
        <v>1.1900000000000002</v>
      </c>
      <c r="AL55" s="108">
        <f t="shared" si="15"/>
        <v>0.67</v>
      </c>
      <c r="AM55">
        <v>51</v>
      </c>
    </row>
    <row r="56" spans="1:39" x14ac:dyDescent="0.25">
      <c r="A56" t="s">
        <v>348</v>
      </c>
      <c r="B56" t="s">
        <v>349</v>
      </c>
      <c r="C56" s="144">
        <v>19</v>
      </c>
      <c r="D56" s="65">
        <v>64</v>
      </c>
      <c r="E56" s="65" t="s">
        <v>790</v>
      </c>
      <c r="F56" s="146">
        <v>0.92300000000000004</v>
      </c>
      <c r="G56" s="65">
        <v>5</v>
      </c>
      <c r="H56" s="65">
        <v>14</v>
      </c>
      <c r="I56" s="147">
        <v>0.36</v>
      </c>
      <c r="J56" s="147">
        <v>0.13</v>
      </c>
      <c r="K56" s="147">
        <v>0.99</v>
      </c>
      <c r="L56" s="65" t="s">
        <v>847</v>
      </c>
      <c r="M56" s="148">
        <v>92.300000000000011</v>
      </c>
      <c r="N56" s="148">
        <v>64</v>
      </c>
      <c r="O56" s="148">
        <v>99.8</v>
      </c>
      <c r="P56" s="127">
        <f t="shared" si="6"/>
        <v>28.300000000000011</v>
      </c>
      <c r="Q56" s="127">
        <f t="shared" si="7"/>
        <v>7.4999999999999858</v>
      </c>
      <c r="R56" s="145">
        <v>0.89</v>
      </c>
      <c r="S56" s="145">
        <v>1</v>
      </c>
      <c r="T56" s="146">
        <v>6.4000000000000001E-2</v>
      </c>
      <c r="U56" t="str">
        <f t="shared" si="11"/>
        <v>RH5</v>
      </c>
      <c r="V56">
        <f t="shared" si="12"/>
        <v>3</v>
      </c>
      <c r="W56">
        <f t="shared" si="13"/>
        <v>4</v>
      </c>
      <c r="X56" s="40">
        <f>IF('Amputation Summary'!$Q$33=2,RANK(S56,S$8:S$74,1)+COUNTIF($S$8:S56,S56)-1,IF('Amputation Summary'!$Q$33=1,RANK(R56,R$8:R$74,1)+COUNTIF($R56:R56,R56)-1))</f>
        <v>36</v>
      </c>
      <c r="Y56" s="6">
        <f>IF( 'Amputation Summary'!$Q$33=2, S56, IF('Amputation Summary'!$Q$33=1,R56))</f>
        <v>0.89</v>
      </c>
      <c r="Z56" s="144">
        <v>7</v>
      </c>
      <c r="AA56" s="65">
        <v>1</v>
      </c>
      <c r="AB56">
        <f t="shared" si="8"/>
        <v>6</v>
      </c>
      <c r="AC56">
        <v>12</v>
      </c>
      <c r="AD56">
        <f t="shared" si="9"/>
        <v>5</v>
      </c>
      <c r="AE56">
        <v>22</v>
      </c>
      <c r="AF56" s="40">
        <f t="shared" si="10"/>
        <v>22</v>
      </c>
      <c r="AG56" s="9">
        <f>IF('Amputation Summary'!$O$4=2, M56, IF('Amputation Summary'!$O$4=1,Z56))</f>
        <v>7</v>
      </c>
      <c r="AH56" s="9">
        <f>IF('Amputation Summary'!$O$4=2, P56, IF('Amputation Summary'!$O$4=1,AB56))</f>
        <v>6</v>
      </c>
      <c r="AI56" s="9">
        <f>IF('Amputation Summary'!$O$4=2, Q56, IF('Amputation Summary'!$O$4=1,AD56))</f>
        <v>5</v>
      </c>
      <c r="AJ56">
        <v>1</v>
      </c>
      <c r="AK56" s="108">
        <f t="shared" si="14"/>
        <v>0.63</v>
      </c>
      <c r="AL56" s="108">
        <f t="shared" si="15"/>
        <v>0.22999999999999998</v>
      </c>
      <c r="AM56">
        <v>3</v>
      </c>
    </row>
    <row r="57" spans="1:39" x14ac:dyDescent="0.25">
      <c r="A57" t="s">
        <v>90</v>
      </c>
      <c r="B57" t="s">
        <v>91</v>
      </c>
      <c r="C57" s="144">
        <v>62</v>
      </c>
      <c r="D57" s="65">
        <v>184</v>
      </c>
      <c r="E57" s="65" t="s">
        <v>791</v>
      </c>
      <c r="F57" s="146">
        <v>0.81799999999999995</v>
      </c>
      <c r="G57" s="65">
        <v>28</v>
      </c>
      <c r="H57" s="65">
        <v>34</v>
      </c>
      <c r="I57" s="147">
        <v>0.82</v>
      </c>
      <c r="J57" s="147">
        <v>0.5</v>
      </c>
      <c r="K57" s="147">
        <v>1.36</v>
      </c>
      <c r="L57" s="65" t="s">
        <v>848</v>
      </c>
      <c r="M57" s="148">
        <v>81.8</v>
      </c>
      <c r="N57" s="148">
        <v>67.300000000000011</v>
      </c>
      <c r="O57" s="148">
        <v>91.8</v>
      </c>
      <c r="P57" s="127">
        <f t="shared" si="6"/>
        <v>14.499999999999986</v>
      </c>
      <c r="Q57" s="127">
        <f t="shared" si="7"/>
        <v>10</v>
      </c>
      <c r="R57" s="145">
        <v>0.82</v>
      </c>
      <c r="S57" s="145">
        <v>0.92</v>
      </c>
      <c r="T57" s="146">
        <v>3.1E-2</v>
      </c>
      <c r="U57" t="str">
        <f t="shared" si="11"/>
        <v>RTR</v>
      </c>
      <c r="V57">
        <f t="shared" si="12"/>
        <v>2</v>
      </c>
      <c r="W57">
        <f t="shared" si="13"/>
        <v>2</v>
      </c>
      <c r="X57" s="40">
        <f>IF('Amputation Summary'!$Q$33=2,RANK(S57,S$8:S$74,1)+COUNTIF($S$8:S57,S57)-1,IF('Amputation Summary'!$Q$33=1,RANK(R57,R$8:R$74,1)+COUNTIF($R57:R57,R57)-1))</f>
        <v>27</v>
      </c>
      <c r="Y57" s="6">
        <f>IF( 'Amputation Summary'!$Q$33=2, S57, IF('Amputation Summary'!$Q$33=1,R57))</f>
        <v>0.82</v>
      </c>
      <c r="Z57" s="144">
        <v>9</v>
      </c>
      <c r="AA57" s="65">
        <v>4</v>
      </c>
      <c r="AB57">
        <f t="shared" si="8"/>
        <v>5</v>
      </c>
      <c r="AC57">
        <v>17</v>
      </c>
      <c r="AD57">
        <f t="shared" si="9"/>
        <v>8</v>
      </c>
      <c r="AE57">
        <v>37</v>
      </c>
      <c r="AF57" s="40">
        <f t="shared" si="10"/>
        <v>37</v>
      </c>
      <c r="AG57" s="9">
        <f>IF('Amputation Summary'!$O$4=2, M57, IF('Amputation Summary'!$O$4=1,Z57))</f>
        <v>9</v>
      </c>
      <c r="AH57" s="9">
        <f>IF('Amputation Summary'!$O$4=2, P57, IF('Amputation Summary'!$O$4=1,AB57))</f>
        <v>5</v>
      </c>
      <c r="AI57" s="9">
        <f>IF('Amputation Summary'!$O$4=2, Q57, IF('Amputation Summary'!$O$4=1,AD57))</f>
        <v>8</v>
      </c>
      <c r="AJ57">
        <v>1</v>
      </c>
      <c r="AK57" s="108">
        <f t="shared" si="14"/>
        <v>0.54000000000000015</v>
      </c>
      <c r="AL57" s="108">
        <f t="shared" si="15"/>
        <v>0.31999999999999995</v>
      </c>
      <c r="AM57">
        <v>25</v>
      </c>
    </row>
    <row r="58" spans="1:39" x14ac:dyDescent="0.25">
      <c r="A58" t="s">
        <v>333</v>
      </c>
      <c r="B58" t="s">
        <v>334</v>
      </c>
      <c r="C58" s="144">
        <v>126</v>
      </c>
      <c r="D58" s="65">
        <v>291</v>
      </c>
      <c r="E58" s="65" t="s">
        <v>792</v>
      </c>
      <c r="F58" s="146">
        <v>0.874</v>
      </c>
      <c r="G58" s="65">
        <v>60</v>
      </c>
      <c r="H58" s="65">
        <v>66</v>
      </c>
      <c r="I58" s="147">
        <v>0.91</v>
      </c>
      <c r="J58" s="147">
        <v>0.64</v>
      </c>
      <c r="K58" s="147">
        <v>1.29</v>
      </c>
      <c r="L58" s="65" t="s">
        <v>849</v>
      </c>
      <c r="M58" s="148">
        <v>87.4</v>
      </c>
      <c r="N58" s="148">
        <v>79</v>
      </c>
      <c r="O58" s="148">
        <v>93.300000000000011</v>
      </c>
      <c r="P58" s="127">
        <f t="shared" si="6"/>
        <v>8.4000000000000057</v>
      </c>
      <c r="Q58" s="127">
        <f t="shared" si="7"/>
        <v>5.9000000000000057</v>
      </c>
      <c r="R58" s="145">
        <v>0.49</v>
      </c>
      <c r="S58" s="145">
        <v>0.86</v>
      </c>
      <c r="T58" s="146">
        <v>4.9000000000000002E-2</v>
      </c>
      <c r="U58" t="str">
        <f t="shared" si="11"/>
        <v>R0B</v>
      </c>
      <c r="V58">
        <f t="shared" si="12"/>
        <v>1</v>
      </c>
      <c r="W58">
        <f t="shared" si="13"/>
        <v>1</v>
      </c>
      <c r="X58" s="40">
        <f>IF('Amputation Summary'!$Q$33=2,RANK(S58,S$8:S$74,1)+COUNTIF($S$8:S58,S58)-1,IF('Amputation Summary'!$Q$33=1,RANK(R58,R$8:R$74,1)+COUNTIF($R58:R58,R58)-1))</f>
        <v>6</v>
      </c>
      <c r="Y58" s="6">
        <f>IF( 'Amputation Summary'!$Q$33=2, S58, IF('Amputation Summary'!$Q$33=1,R58))</f>
        <v>0.49</v>
      </c>
      <c r="Z58" s="144">
        <v>8</v>
      </c>
      <c r="AA58" s="65">
        <v>2</v>
      </c>
      <c r="AB58">
        <f t="shared" si="8"/>
        <v>6</v>
      </c>
      <c r="AC58">
        <v>20</v>
      </c>
      <c r="AD58">
        <f t="shared" si="9"/>
        <v>12</v>
      </c>
      <c r="AE58">
        <v>31</v>
      </c>
      <c r="AF58" s="40">
        <f t="shared" si="10"/>
        <v>31</v>
      </c>
      <c r="AG58" s="9">
        <f>IF('Amputation Summary'!$O$4=2, M58, IF('Amputation Summary'!$O$4=1,Z58))</f>
        <v>8</v>
      </c>
      <c r="AH58" s="9">
        <f>IF('Amputation Summary'!$O$4=2, P58, IF('Amputation Summary'!$O$4=1,AB58))</f>
        <v>6</v>
      </c>
      <c r="AI58" s="9">
        <f>IF('Amputation Summary'!$O$4=2, Q58, IF('Amputation Summary'!$O$4=1,AD58))</f>
        <v>12</v>
      </c>
      <c r="AJ58">
        <v>1</v>
      </c>
      <c r="AK58" s="108">
        <f t="shared" si="14"/>
        <v>0.38</v>
      </c>
      <c r="AL58" s="108">
        <f t="shared" si="15"/>
        <v>0.27</v>
      </c>
      <c r="AM58">
        <v>29</v>
      </c>
    </row>
    <row r="59" spans="1:39" x14ac:dyDescent="0.25">
      <c r="A59" t="s">
        <v>47</v>
      </c>
      <c r="B59" t="s">
        <v>48</v>
      </c>
      <c r="C59" s="144">
        <v>16</v>
      </c>
      <c r="D59" s="65">
        <v>82</v>
      </c>
      <c r="E59" s="65" t="s">
        <v>793</v>
      </c>
      <c r="F59" s="146">
        <v>0.73299999999999998</v>
      </c>
      <c r="G59" s="65">
        <v>7</v>
      </c>
      <c r="H59" s="65">
        <v>9</v>
      </c>
      <c r="I59" s="147">
        <v>0.78</v>
      </c>
      <c r="J59" s="147">
        <v>0.28999999999999998</v>
      </c>
      <c r="K59" s="147">
        <v>2.09</v>
      </c>
      <c r="L59" s="65" t="s">
        <v>850</v>
      </c>
      <c r="M59" s="148">
        <v>73.3</v>
      </c>
      <c r="N59" s="148">
        <v>44.9</v>
      </c>
      <c r="O59" s="148">
        <v>92.2</v>
      </c>
      <c r="P59" s="127">
        <f t="shared" si="6"/>
        <v>28.4</v>
      </c>
      <c r="Q59" s="127">
        <f t="shared" si="7"/>
        <v>18.900000000000006</v>
      </c>
      <c r="R59" s="145">
        <v>0.94</v>
      </c>
      <c r="S59" s="145">
        <v>1</v>
      </c>
      <c r="T59" s="146">
        <v>7.2999999999999995E-2</v>
      </c>
      <c r="U59" t="str">
        <f t="shared" si="11"/>
        <v>RJ7</v>
      </c>
      <c r="V59">
        <f t="shared" si="12"/>
        <v>4</v>
      </c>
      <c r="W59">
        <f t="shared" si="13"/>
        <v>4</v>
      </c>
      <c r="X59" s="40">
        <f>IF('Amputation Summary'!$Q$33=2,RANK(S59,S$8:S$74,1)+COUNTIF($S$8:S59,S59)-1,IF('Amputation Summary'!$Q$33=1,RANK(R59,R$8:R$74,1)+COUNTIF($R59:R59,R59)-1))</f>
        <v>49</v>
      </c>
      <c r="Y59" s="6">
        <f>IF( 'Amputation Summary'!$Q$33=2, S59, IF('Amputation Summary'!$Q$33=1,R59))</f>
        <v>0.94</v>
      </c>
      <c r="Z59" s="144">
        <v>11</v>
      </c>
      <c r="AA59" s="65">
        <v>3</v>
      </c>
      <c r="AB59">
        <f t="shared" si="8"/>
        <v>8</v>
      </c>
      <c r="AC59">
        <v>37</v>
      </c>
      <c r="AD59">
        <f t="shared" si="9"/>
        <v>26</v>
      </c>
      <c r="AE59">
        <v>43</v>
      </c>
      <c r="AF59" s="40">
        <f t="shared" si="10"/>
        <v>43</v>
      </c>
      <c r="AG59" s="9">
        <f>IF('Amputation Summary'!$O$4=2, M59, IF('Amputation Summary'!$O$4=1,Z59))</f>
        <v>11</v>
      </c>
      <c r="AH59" s="9">
        <f>IF('Amputation Summary'!$O$4=2, P59, IF('Amputation Summary'!$O$4=1,AB59))</f>
        <v>8</v>
      </c>
      <c r="AI59" s="9">
        <f>IF('Amputation Summary'!$O$4=2, Q59, IF('Amputation Summary'!$O$4=1,AD59))</f>
        <v>26</v>
      </c>
      <c r="AJ59">
        <v>1</v>
      </c>
      <c r="AK59" s="108">
        <f t="shared" si="14"/>
        <v>1.3099999999999998</v>
      </c>
      <c r="AL59" s="108">
        <f t="shared" si="15"/>
        <v>0.49000000000000005</v>
      </c>
      <c r="AM59">
        <v>21</v>
      </c>
    </row>
    <row r="60" spans="1:39" x14ac:dyDescent="0.25">
      <c r="A60" t="s">
        <v>2</v>
      </c>
      <c r="B60" t="s">
        <v>158</v>
      </c>
      <c r="C60" s="144">
        <v>98</v>
      </c>
      <c r="D60" s="65">
        <v>284</v>
      </c>
      <c r="E60" s="65" t="s">
        <v>377</v>
      </c>
      <c r="F60" s="146">
        <v>0.91700000000000004</v>
      </c>
      <c r="G60" s="65">
        <v>61</v>
      </c>
      <c r="H60" s="65">
        <v>37</v>
      </c>
      <c r="I60" s="147">
        <v>1.65</v>
      </c>
      <c r="J60" s="147">
        <v>1.1000000000000001</v>
      </c>
      <c r="K60" s="147">
        <v>2.48</v>
      </c>
      <c r="L60" s="65" t="s">
        <v>851</v>
      </c>
      <c r="M60" s="148">
        <v>91.7</v>
      </c>
      <c r="N60" s="148">
        <v>81.599999999999994</v>
      </c>
      <c r="O60" s="148">
        <v>97.2</v>
      </c>
      <c r="P60" s="127">
        <f t="shared" si="6"/>
        <v>10.100000000000009</v>
      </c>
      <c r="Q60" s="127">
        <f t="shared" si="7"/>
        <v>5.5</v>
      </c>
      <c r="R60" s="145">
        <v>0.64</v>
      </c>
      <c r="S60" s="145">
        <v>0.8</v>
      </c>
      <c r="T60" s="146">
        <v>6.9000000000000006E-2</v>
      </c>
      <c r="U60" t="str">
        <f t="shared" si="11"/>
        <v>7A3</v>
      </c>
      <c r="V60">
        <f t="shared" si="12"/>
        <v>1</v>
      </c>
      <c r="W60">
        <f t="shared" si="13"/>
        <v>1</v>
      </c>
      <c r="X60" s="40">
        <f>IF('Amputation Summary'!$Q$33=2,RANK(S60,S$8:S$74,1)+COUNTIF($S$8:S60,S60)-1,IF('Amputation Summary'!$Q$33=1,RANK(R60,R$8:R$74,1)+COUNTIF($R60:R60,R60)-1))</f>
        <v>12</v>
      </c>
      <c r="Y60" s="6">
        <f>IF( 'Amputation Summary'!$Q$33=2, S60, IF('Amputation Summary'!$Q$33=1,R60))</f>
        <v>0.64</v>
      </c>
      <c r="Z60" s="144">
        <v>5</v>
      </c>
      <c r="AA60" s="65">
        <v>2</v>
      </c>
      <c r="AB60">
        <f t="shared" si="8"/>
        <v>3</v>
      </c>
      <c r="AC60">
        <v>11</v>
      </c>
      <c r="AD60">
        <f t="shared" si="9"/>
        <v>6</v>
      </c>
      <c r="AE60">
        <v>11</v>
      </c>
      <c r="AF60" s="40">
        <f t="shared" si="10"/>
        <v>11</v>
      </c>
      <c r="AG60" s="9">
        <f>IF('Amputation Summary'!$O$4=2, M60, IF('Amputation Summary'!$O$4=1,Z60))</f>
        <v>5</v>
      </c>
      <c r="AH60" s="9">
        <f>IF('Amputation Summary'!$O$4=2, P60, IF('Amputation Summary'!$O$4=1,AB60))</f>
        <v>3</v>
      </c>
      <c r="AI60" s="9">
        <f>IF('Amputation Summary'!$O$4=2, Q60, IF('Amputation Summary'!$O$4=1,AD60))</f>
        <v>6</v>
      </c>
      <c r="AJ60">
        <v>1</v>
      </c>
      <c r="AK60" s="108">
        <f t="shared" si="14"/>
        <v>0.83000000000000007</v>
      </c>
      <c r="AL60" s="108">
        <f t="shared" si="15"/>
        <v>0.54999999999999982</v>
      </c>
      <c r="AM60">
        <v>53</v>
      </c>
    </row>
    <row r="61" spans="1:39" x14ac:dyDescent="0.25">
      <c r="A61" t="s">
        <v>64</v>
      </c>
      <c r="B61" t="s">
        <v>65</v>
      </c>
      <c r="C61" s="144">
        <v>41</v>
      </c>
      <c r="D61" s="65">
        <v>161</v>
      </c>
      <c r="E61" s="65" t="s">
        <v>794</v>
      </c>
      <c r="F61" s="146">
        <v>0.73099999999999998</v>
      </c>
      <c r="G61" s="65">
        <v>22</v>
      </c>
      <c r="H61" s="65">
        <v>19</v>
      </c>
      <c r="I61" s="147">
        <v>1.1599999999999999</v>
      </c>
      <c r="J61" s="147">
        <v>0.63</v>
      </c>
      <c r="K61" s="147">
        <v>2.14</v>
      </c>
      <c r="L61" s="65" t="s">
        <v>852</v>
      </c>
      <c r="M61" s="148">
        <v>73.099999999999994</v>
      </c>
      <c r="N61" s="148">
        <v>52.2</v>
      </c>
      <c r="O61" s="148">
        <v>88.4</v>
      </c>
      <c r="P61" s="127">
        <f t="shared" si="6"/>
        <v>20.899999999999991</v>
      </c>
      <c r="Q61" s="127">
        <f t="shared" si="7"/>
        <v>15.300000000000011</v>
      </c>
      <c r="R61" s="145">
        <v>0.78</v>
      </c>
      <c r="S61" s="145">
        <v>0.98</v>
      </c>
      <c r="T61" s="146">
        <v>8.8999999999999996E-2</v>
      </c>
      <c r="U61" t="str">
        <f t="shared" si="11"/>
        <v>RNA</v>
      </c>
      <c r="V61">
        <f t="shared" si="12"/>
        <v>2</v>
      </c>
      <c r="W61">
        <f t="shared" si="13"/>
        <v>3</v>
      </c>
      <c r="X61" s="40">
        <f>IF('Amputation Summary'!$Q$33=2,RANK(S61,S$8:S$74,1)+COUNTIF($S$8:S61,S61)-1,IF('Amputation Summary'!$Q$33=1,RANK(R61,R$8:R$74,1)+COUNTIF($R61:R61,R61)-1))</f>
        <v>26</v>
      </c>
      <c r="Y61" s="6">
        <f>IF( 'Amputation Summary'!$Q$33=2, S61, IF('Amputation Summary'!$Q$33=1,R61))</f>
        <v>0.78</v>
      </c>
      <c r="Z61" s="144">
        <v>8</v>
      </c>
      <c r="AA61" s="65">
        <v>2</v>
      </c>
      <c r="AB61">
        <f t="shared" si="8"/>
        <v>6</v>
      </c>
      <c r="AC61">
        <v>30</v>
      </c>
      <c r="AD61">
        <f t="shared" si="9"/>
        <v>22</v>
      </c>
      <c r="AE61">
        <v>28</v>
      </c>
      <c r="AF61" s="40">
        <f t="shared" si="10"/>
        <v>28</v>
      </c>
      <c r="AG61" s="9">
        <f>IF('Amputation Summary'!$O$4=2, M61, IF('Amputation Summary'!$O$4=1,Z61))</f>
        <v>8</v>
      </c>
      <c r="AH61" s="9">
        <f>IF('Amputation Summary'!$O$4=2, P61, IF('Amputation Summary'!$O$4=1,AB61))</f>
        <v>6</v>
      </c>
      <c r="AI61" s="9">
        <f>IF('Amputation Summary'!$O$4=2, Q61, IF('Amputation Summary'!$O$4=1,AD61))</f>
        <v>22</v>
      </c>
      <c r="AJ61">
        <v>1</v>
      </c>
      <c r="AK61" s="108">
        <f t="shared" si="14"/>
        <v>0.9800000000000002</v>
      </c>
      <c r="AL61" s="108">
        <f t="shared" si="15"/>
        <v>0.52999999999999992</v>
      </c>
      <c r="AM61">
        <v>42</v>
      </c>
    </row>
    <row r="62" spans="1:39" x14ac:dyDescent="0.25">
      <c r="A62" t="s">
        <v>97</v>
      </c>
      <c r="B62" t="s">
        <v>98</v>
      </c>
      <c r="C62" s="144">
        <v>18</v>
      </c>
      <c r="D62" s="65">
        <v>93</v>
      </c>
      <c r="E62" s="65" t="s">
        <v>795</v>
      </c>
      <c r="F62" s="146">
        <v>0.5</v>
      </c>
      <c r="G62" s="65">
        <v>14</v>
      </c>
      <c r="H62" s="65">
        <v>4</v>
      </c>
      <c r="I62" s="147">
        <v>3.5</v>
      </c>
      <c r="J62" s="147">
        <v>1.1499999999999999</v>
      </c>
      <c r="K62" s="147">
        <v>7.5</v>
      </c>
      <c r="L62" s="65" t="s">
        <v>853</v>
      </c>
      <c r="M62" s="148">
        <v>50</v>
      </c>
      <c r="N62" s="148">
        <v>18.7</v>
      </c>
      <c r="O62" s="148">
        <v>81.3</v>
      </c>
      <c r="P62" s="127">
        <f t="shared" si="6"/>
        <v>31.3</v>
      </c>
      <c r="Q62" s="127">
        <f t="shared" si="7"/>
        <v>31.299999999999997</v>
      </c>
      <c r="R62" s="145">
        <v>0.89</v>
      </c>
      <c r="S62" s="145">
        <v>1</v>
      </c>
      <c r="T62" s="146">
        <v>5.8000000000000003E-2</v>
      </c>
      <c r="U62" t="str">
        <f t="shared" si="11"/>
        <v>RWD</v>
      </c>
      <c r="V62">
        <f t="shared" si="12"/>
        <v>3</v>
      </c>
      <c r="W62">
        <f t="shared" si="13"/>
        <v>4</v>
      </c>
      <c r="X62" s="40">
        <f>IF('Amputation Summary'!$Q$33=2,RANK(S62,S$8:S$74,1)+COUNTIF($S$8:S62,S62)-1,IF('Amputation Summary'!$Q$33=1,RANK(R62,R$8:R$74,1)+COUNTIF($R62:R62,R62)-1))</f>
        <v>36</v>
      </c>
      <c r="Y62" s="6">
        <f>IF( 'Amputation Summary'!$Q$33=2, S62, IF('Amputation Summary'!$Q$33=1,R62))</f>
        <v>0.89</v>
      </c>
      <c r="Z62" s="144">
        <v>25</v>
      </c>
      <c r="AA62" s="65">
        <v>15</v>
      </c>
      <c r="AB62">
        <f t="shared" si="8"/>
        <v>10</v>
      </c>
      <c r="AC62">
        <v>54</v>
      </c>
      <c r="AD62">
        <f t="shared" si="9"/>
        <v>29</v>
      </c>
      <c r="AE62">
        <v>56</v>
      </c>
      <c r="AF62" s="40">
        <f t="shared" si="10"/>
        <v>56</v>
      </c>
      <c r="AG62" s="9">
        <f>IF('Amputation Summary'!$O$4=2, M62, IF('Amputation Summary'!$O$4=1,Z62))</f>
        <v>25</v>
      </c>
      <c r="AH62" s="9">
        <f>IF('Amputation Summary'!$O$4=2, P62, IF('Amputation Summary'!$O$4=1,AB62))</f>
        <v>10</v>
      </c>
      <c r="AI62" s="9">
        <f>IF('Amputation Summary'!$O$4=2, Q62, IF('Amputation Summary'!$O$4=1,AD62))</f>
        <v>29</v>
      </c>
      <c r="AJ62">
        <v>1</v>
      </c>
      <c r="AK62" s="108">
        <f t="shared" si="14"/>
        <v>4</v>
      </c>
      <c r="AL62" s="108">
        <f t="shared" si="15"/>
        <v>2.35</v>
      </c>
      <c r="AM62">
        <v>56</v>
      </c>
    </row>
    <row r="63" spans="1:39" x14ac:dyDescent="0.25">
      <c r="A63" t="s">
        <v>49</v>
      </c>
      <c r="B63" t="s">
        <v>50</v>
      </c>
      <c r="C63" s="144">
        <v>98</v>
      </c>
      <c r="D63" s="65">
        <v>249</v>
      </c>
      <c r="E63" s="65" t="s">
        <v>796</v>
      </c>
      <c r="F63" s="146">
        <v>0.76100000000000001</v>
      </c>
      <c r="G63" s="65">
        <v>48</v>
      </c>
      <c r="H63" s="65">
        <v>50</v>
      </c>
      <c r="I63" s="147">
        <v>0.96</v>
      </c>
      <c r="J63" s="147">
        <v>0.65</v>
      </c>
      <c r="K63" s="147">
        <v>1.43</v>
      </c>
      <c r="L63" s="65" t="s">
        <v>458</v>
      </c>
      <c r="M63" s="148">
        <v>76.099999999999994</v>
      </c>
      <c r="N63" s="148">
        <v>61.199999999999996</v>
      </c>
      <c r="O63" s="148">
        <v>87.4</v>
      </c>
      <c r="P63" s="127">
        <f t="shared" si="6"/>
        <v>14.899999999999999</v>
      </c>
      <c r="Q63" s="127">
        <f t="shared" si="7"/>
        <v>11.300000000000011</v>
      </c>
      <c r="R63" s="145">
        <v>0.85</v>
      </c>
      <c r="S63" s="145">
        <v>0.97</v>
      </c>
      <c r="T63" s="146">
        <v>7.6999999999999999E-2</v>
      </c>
      <c r="U63" t="str">
        <f t="shared" si="11"/>
        <v>RJE</v>
      </c>
      <c r="V63">
        <f t="shared" si="12"/>
        <v>3</v>
      </c>
      <c r="W63">
        <f t="shared" si="13"/>
        <v>2</v>
      </c>
      <c r="X63" s="40">
        <f>IF('Amputation Summary'!$Q$33=2,RANK(S63,S$8:S$74,1)+COUNTIF($S$8:S63,S63)-1,IF('Amputation Summary'!$Q$33=1,RANK(R63,R$8:R$74,1)+COUNTIF($R63:R63,R63)-1))</f>
        <v>32</v>
      </c>
      <c r="Y63" s="6">
        <f>IF( 'Amputation Summary'!$Q$33=2, S63, IF('Amputation Summary'!$Q$33=1,R63))</f>
        <v>0.85</v>
      </c>
      <c r="Z63" s="144">
        <v>5</v>
      </c>
      <c r="AA63" s="65">
        <v>2</v>
      </c>
      <c r="AB63">
        <f t="shared" si="8"/>
        <v>3</v>
      </c>
      <c r="AC63">
        <v>29</v>
      </c>
      <c r="AD63">
        <f t="shared" si="9"/>
        <v>24</v>
      </c>
      <c r="AE63">
        <v>12</v>
      </c>
      <c r="AF63" s="40">
        <f t="shared" si="10"/>
        <v>12</v>
      </c>
      <c r="AG63" s="9">
        <f>IF('Amputation Summary'!$O$4=2, M63, IF('Amputation Summary'!$O$4=1,Z63))</f>
        <v>5</v>
      </c>
      <c r="AH63" s="9">
        <f>IF('Amputation Summary'!$O$4=2, P63, IF('Amputation Summary'!$O$4=1,AB63))</f>
        <v>3</v>
      </c>
      <c r="AI63" s="9">
        <f>IF('Amputation Summary'!$O$4=2, Q63, IF('Amputation Summary'!$O$4=1,AD63))</f>
        <v>24</v>
      </c>
      <c r="AJ63">
        <v>1</v>
      </c>
      <c r="AK63" s="108">
        <f t="shared" si="14"/>
        <v>0.47</v>
      </c>
      <c r="AL63" s="108">
        <f t="shared" si="15"/>
        <v>0.30999999999999994</v>
      </c>
      <c r="AM63">
        <v>32</v>
      </c>
    </row>
    <row r="64" spans="1:39" x14ac:dyDescent="0.25">
      <c r="A64" t="s">
        <v>39</v>
      </c>
      <c r="B64" t="s">
        <v>40</v>
      </c>
      <c r="C64" s="144">
        <v>84</v>
      </c>
      <c r="D64" s="65">
        <v>213</v>
      </c>
      <c r="E64" s="65" t="s">
        <v>797</v>
      </c>
      <c r="F64" s="146">
        <v>0.86799999999999999</v>
      </c>
      <c r="G64" s="65">
        <v>25</v>
      </c>
      <c r="H64" s="65">
        <v>59</v>
      </c>
      <c r="I64" s="147">
        <v>0.42</v>
      </c>
      <c r="J64" s="147">
        <v>0.27</v>
      </c>
      <c r="K64" s="147">
        <v>0.68</v>
      </c>
      <c r="L64" s="65" t="s">
        <v>854</v>
      </c>
      <c r="M64" s="148">
        <v>86.8</v>
      </c>
      <c r="N64" s="148">
        <v>71.899999999999991</v>
      </c>
      <c r="O64" s="148">
        <v>95.6</v>
      </c>
      <c r="P64" s="127">
        <f t="shared" si="6"/>
        <v>14.900000000000006</v>
      </c>
      <c r="Q64" s="127">
        <f t="shared" si="7"/>
        <v>8.7999999999999972</v>
      </c>
      <c r="R64" s="145">
        <v>0.89</v>
      </c>
      <c r="S64" s="145">
        <v>0.83</v>
      </c>
      <c r="T64" s="146">
        <v>6.4000000000000001E-2</v>
      </c>
      <c r="U64" t="str">
        <f t="shared" si="11"/>
        <v>RHM</v>
      </c>
      <c r="V64">
        <f t="shared" si="12"/>
        <v>3</v>
      </c>
      <c r="W64">
        <f t="shared" si="13"/>
        <v>1</v>
      </c>
      <c r="X64" s="40">
        <f>IF('Amputation Summary'!$Q$33=2,RANK(S64,S$8:S$74,1)+COUNTIF($S$8:S64,S64)-1,IF('Amputation Summary'!$Q$33=1,RANK(R64,R$8:R$74,1)+COUNTIF($R64:R64,R64)-1))</f>
        <v>36</v>
      </c>
      <c r="Y64" s="6">
        <f>IF( 'Amputation Summary'!$Q$33=2, S64, IF('Amputation Summary'!$Q$33=1,R64))</f>
        <v>0.89</v>
      </c>
      <c r="Z64" s="144">
        <v>8</v>
      </c>
      <c r="AA64" s="65">
        <v>3</v>
      </c>
      <c r="AB64">
        <f t="shared" si="8"/>
        <v>5</v>
      </c>
      <c r="AC64">
        <v>21</v>
      </c>
      <c r="AD64">
        <f t="shared" si="9"/>
        <v>13</v>
      </c>
      <c r="AE64">
        <v>26</v>
      </c>
      <c r="AF64" s="40">
        <f t="shared" si="10"/>
        <v>26</v>
      </c>
      <c r="AG64" s="9">
        <f>IF('Amputation Summary'!$O$4=2, M64, IF('Amputation Summary'!$O$4=1,Z64))</f>
        <v>8</v>
      </c>
      <c r="AH64" s="9">
        <f>IF('Amputation Summary'!$O$4=2, P64, IF('Amputation Summary'!$O$4=1,AB64))</f>
        <v>5</v>
      </c>
      <c r="AI64" s="9">
        <f>IF('Amputation Summary'!$O$4=2, Q64, IF('Amputation Summary'!$O$4=1,AD64))</f>
        <v>13</v>
      </c>
      <c r="AJ64">
        <v>1</v>
      </c>
      <c r="AK64" s="108">
        <f t="shared" si="14"/>
        <v>0.26000000000000006</v>
      </c>
      <c r="AL64" s="108">
        <f t="shared" si="15"/>
        <v>0.14999999999999997</v>
      </c>
      <c r="AM64">
        <v>6</v>
      </c>
    </row>
    <row r="65" spans="1:39" x14ac:dyDescent="0.25">
      <c r="A65" t="s">
        <v>360</v>
      </c>
      <c r="B65" t="s">
        <v>361</v>
      </c>
      <c r="C65" s="144">
        <v>99</v>
      </c>
      <c r="D65" s="65">
        <v>301</v>
      </c>
      <c r="E65" s="65" t="s">
        <v>798</v>
      </c>
      <c r="F65" s="146">
        <v>0.72899999999999998</v>
      </c>
      <c r="G65" s="65">
        <v>50</v>
      </c>
      <c r="H65" s="65">
        <v>49</v>
      </c>
      <c r="I65" s="147">
        <v>1.02</v>
      </c>
      <c r="J65" s="147">
        <v>0.69</v>
      </c>
      <c r="K65" s="147">
        <v>1.51</v>
      </c>
      <c r="L65" s="65" t="s">
        <v>855</v>
      </c>
      <c r="M65" s="148">
        <v>72.899999999999991</v>
      </c>
      <c r="N65" s="148">
        <v>60.9</v>
      </c>
      <c r="O65" s="148">
        <v>82.8</v>
      </c>
      <c r="P65" s="127">
        <f t="shared" si="6"/>
        <v>11.999999999999993</v>
      </c>
      <c r="Q65" s="127">
        <f t="shared" si="7"/>
        <v>9.9000000000000057</v>
      </c>
      <c r="R65" s="145">
        <v>0.41</v>
      </c>
      <c r="S65" s="145">
        <v>1</v>
      </c>
      <c r="T65" s="146">
        <v>4.2000000000000003E-2</v>
      </c>
      <c r="U65" t="str">
        <f t="shared" si="11"/>
        <v>RYR</v>
      </c>
      <c r="V65">
        <f t="shared" si="12"/>
        <v>1</v>
      </c>
      <c r="W65">
        <f t="shared" si="13"/>
        <v>4</v>
      </c>
      <c r="X65" s="40">
        <f>IF('Amputation Summary'!$Q$33=2,RANK(S65,S$8:S$74,1)+COUNTIF($S$8:S65,S65)-1,IF('Amputation Summary'!$Q$33=1,RANK(R65,R$8:R$74,1)+COUNTIF($R65:R65,R65)-1))</f>
        <v>4</v>
      </c>
      <c r="Y65" s="6">
        <f>IF( 'Amputation Summary'!$Q$33=2, S65, IF('Amputation Summary'!$Q$33=1,R65))</f>
        <v>0.41</v>
      </c>
      <c r="Z65" s="144">
        <v>8</v>
      </c>
      <c r="AA65" s="65">
        <v>3</v>
      </c>
      <c r="AB65">
        <f t="shared" si="8"/>
        <v>5</v>
      </c>
      <c r="AC65">
        <v>32</v>
      </c>
      <c r="AD65">
        <f t="shared" si="9"/>
        <v>24</v>
      </c>
      <c r="AE65">
        <v>35</v>
      </c>
      <c r="AF65" s="40">
        <f t="shared" si="10"/>
        <v>35</v>
      </c>
      <c r="AG65" s="9">
        <f>IF('Amputation Summary'!$O$4=2, M65, IF('Amputation Summary'!$O$4=1,Z65))</f>
        <v>8</v>
      </c>
      <c r="AH65" s="9">
        <f>IF('Amputation Summary'!$O$4=2, P65, IF('Amputation Summary'!$O$4=1,AB65))</f>
        <v>5</v>
      </c>
      <c r="AI65" s="9">
        <f>IF('Amputation Summary'!$O$4=2, Q65, IF('Amputation Summary'!$O$4=1,AD65))</f>
        <v>24</v>
      </c>
      <c r="AJ65">
        <v>1</v>
      </c>
      <c r="AK65" s="108">
        <f t="shared" si="14"/>
        <v>0.49</v>
      </c>
      <c r="AL65" s="108">
        <f t="shared" si="15"/>
        <v>0.33000000000000007</v>
      </c>
      <c r="AM65">
        <v>34</v>
      </c>
    </row>
    <row r="66" spans="1:39" x14ac:dyDescent="0.25">
      <c r="A66" t="s">
        <v>77</v>
      </c>
      <c r="B66" t="s">
        <v>78</v>
      </c>
      <c r="C66" s="144">
        <v>162</v>
      </c>
      <c r="D66" s="65">
        <v>342</v>
      </c>
      <c r="E66" s="65" t="s">
        <v>799</v>
      </c>
      <c r="F66" s="146">
        <v>0.90500000000000003</v>
      </c>
      <c r="G66" s="65">
        <v>71</v>
      </c>
      <c r="H66" s="65">
        <v>91</v>
      </c>
      <c r="I66" s="147">
        <v>0.78</v>
      </c>
      <c r="J66" s="147">
        <v>0.56999999999999995</v>
      </c>
      <c r="K66" s="147">
        <v>1.06</v>
      </c>
      <c r="L66" s="65" t="s">
        <v>856</v>
      </c>
      <c r="M66" s="148">
        <v>90.5</v>
      </c>
      <c r="N66" s="148">
        <v>69.599999999999994</v>
      </c>
      <c r="O66" s="148">
        <v>98.8</v>
      </c>
      <c r="P66" s="127">
        <f t="shared" si="6"/>
        <v>20.900000000000006</v>
      </c>
      <c r="Q66" s="127">
        <f t="shared" si="7"/>
        <v>8.2999999999999972</v>
      </c>
      <c r="R66" s="145">
        <v>0.73</v>
      </c>
      <c r="S66" s="145">
        <v>0.86</v>
      </c>
      <c r="T66" s="146">
        <v>5.6000000000000001E-2</v>
      </c>
      <c r="U66" t="str">
        <f t="shared" si="11"/>
        <v>RRK</v>
      </c>
      <c r="V66">
        <f t="shared" si="12"/>
        <v>2</v>
      </c>
      <c r="W66">
        <f t="shared" si="13"/>
        <v>1</v>
      </c>
      <c r="X66" s="40">
        <f>IF('Amputation Summary'!$Q$33=2,RANK(S66,S$8:S$74,1)+COUNTIF($S$8:S66,S66)-1,IF('Amputation Summary'!$Q$33=1,RANK(R66,R$8:R$74,1)+COUNTIF($R66:R66,R66)-1))</f>
        <v>21</v>
      </c>
      <c r="Y66" s="6">
        <f>IF( 'Amputation Summary'!$Q$33=2, S66, IF('Amputation Summary'!$Q$33=1,R66))</f>
        <v>0.73</v>
      </c>
      <c r="Z66" s="144">
        <v>6</v>
      </c>
      <c r="AA66" s="65">
        <v>5</v>
      </c>
      <c r="AB66">
        <f t="shared" si="8"/>
        <v>1</v>
      </c>
      <c r="AC66">
        <v>14</v>
      </c>
      <c r="AD66">
        <f t="shared" si="9"/>
        <v>8</v>
      </c>
      <c r="AE66">
        <v>16</v>
      </c>
      <c r="AF66" s="40">
        <f t="shared" si="10"/>
        <v>16</v>
      </c>
      <c r="AG66" s="9">
        <f>IF('Amputation Summary'!$O$4=2, M66, IF('Amputation Summary'!$O$4=1,Z66))</f>
        <v>6</v>
      </c>
      <c r="AH66" s="9">
        <f>IF('Amputation Summary'!$O$4=2, P66, IF('Amputation Summary'!$O$4=1,AB66))</f>
        <v>1</v>
      </c>
      <c r="AI66" s="9">
        <f>IF('Amputation Summary'!$O$4=2, Q66, IF('Amputation Summary'!$O$4=1,AD66))</f>
        <v>8</v>
      </c>
      <c r="AJ66">
        <v>1</v>
      </c>
      <c r="AK66" s="108">
        <f t="shared" si="14"/>
        <v>0.28000000000000003</v>
      </c>
      <c r="AL66" s="108">
        <f t="shared" si="15"/>
        <v>0.21000000000000008</v>
      </c>
      <c r="AM66">
        <v>22</v>
      </c>
    </row>
    <row r="67" spans="1:39" x14ac:dyDescent="0.25">
      <c r="A67" t="s">
        <v>56</v>
      </c>
      <c r="B67" t="s">
        <v>57</v>
      </c>
      <c r="C67" s="144">
        <v>18</v>
      </c>
      <c r="D67" s="65">
        <v>85</v>
      </c>
      <c r="E67" s="65" t="s">
        <v>800</v>
      </c>
      <c r="F67" s="146">
        <v>0.69199999999999995</v>
      </c>
      <c r="G67" s="65">
        <v>8</v>
      </c>
      <c r="H67" s="65">
        <v>10</v>
      </c>
      <c r="I67" s="147">
        <v>0.8</v>
      </c>
      <c r="J67" s="147">
        <v>0.32</v>
      </c>
      <c r="K67" s="147">
        <v>2.0299999999999998</v>
      </c>
      <c r="L67" s="65" t="s">
        <v>857</v>
      </c>
      <c r="M67" s="148">
        <v>69.199999999999989</v>
      </c>
      <c r="N67" s="148">
        <v>38.6</v>
      </c>
      <c r="O67" s="148">
        <v>90.9</v>
      </c>
      <c r="P67" s="127">
        <f t="shared" si="6"/>
        <v>30.599999999999987</v>
      </c>
      <c r="Q67" s="127">
        <f t="shared" si="7"/>
        <v>21.700000000000017</v>
      </c>
      <c r="R67" s="145">
        <v>0.83</v>
      </c>
      <c r="S67" s="145">
        <v>1</v>
      </c>
      <c r="T67" s="146">
        <v>7.0999999999999994E-2</v>
      </c>
      <c r="U67" t="str">
        <f t="shared" si="11"/>
        <v>RKB</v>
      </c>
      <c r="V67">
        <f t="shared" si="12"/>
        <v>2</v>
      </c>
      <c r="W67">
        <f t="shared" si="13"/>
        <v>4</v>
      </c>
      <c r="X67" s="40">
        <f>IF('Amputation Summary'!$Q$33=2,RANK(S67,S$8:S$74,1)+COUNTIF($S$8:S67,S67)-1,IF('Amputation Summary'!$Q$33=1,RANK(R67,R$8:R$74,1)+COUNTIF($R67:R67,R67)-1))</f>
        <v>29</v>
      </c>
      <c r="Y67" s="6">
        <f>IF( 'Amputation Summary'!$Q$33=2, S67, IF('Amputation Summary'!$Q$33=1,R67))</f>
        <v>0.83</v>
      </c>
      <c r="Z67" s="144">
        <v>13</v>
      </c>
      <c r="AA67" s="65">
        <v>7</v>
      </c>
      <c r="AB67">
        <f t="shared" si="8"/>
        <v>6</v>
      </c>
      <c r="AC67">
        <v>37</v>
      </c>
      <c r="AD67">
        <f t="shared" si="9"/>
        <v>24</v>
      </c>
      <c r="AE67">
        <v>50</v>
      </c>
      <c r="AF67" s="40">
        <f t="shared" si="10"/>
        <v>50</v>
      </c>
      <c r="AG67" s="9">
        <f>IF('Amputation Summary'!$O$4=2, M67, IF('Amputation Summary'!$O$4=1,Z67))</f>
        <v>13</v>
      </c>
      <c r="AH67" s="9">
        <f>IF('Amputation Summary'!$O$4=2, P67, IF('Amputation Summary'!$O$4=1,AB67))</f>
        <v>6</v>
      </c>
      <c r="AI67" s="9">
        <f>IF('Amputation Summary'!$O$4=2, Q67, IF('Amputation Summary'!$O$4=1,AD67))</f>
        <v>24</v>
      </c>
      <c r="AJ67">
        <v>1</v>
      </c>
      <c r="AK67" s="108">
        <f t="shared" si="14"/>
        <v>1.2299999999999998</v>
      </c>
      <c r="AL67" s="108">
        <f t="shared" si="15"/>
        <v>0.48000000000000004</v>
      </c>
      <c r="AM67">
        <v>23</v>
      </c>
    </row>
    <row r="68" spans="1:39" x14ac:dyDescent="0.25">
      <c r="A68" t="s">
        <v>336</v>
      </c>
      <c r="B68" t="s">
        <v>337</v>
      </c>
      <c r="C68" s="144">
        <v>12</v>
      </c>
      <c r="D68" s="65">
        <v>72</v>
      </c>
      <c r="E68" s="65" t="s">
        <v>227</v>
      </c>
      <c r="F68" s="146" t="s">
        <v>227</v>
      </c>
      <c r="G68" s="65">
        <v>5</v>
      </c>
      <c r="H68" s="65">
        <v>7</v>
      </c>
      <c r="I68" s="147">
        <v>0.71</v>
      </c>
      <c r="J68" s="147">
        <v>0.23</v>
      </c>
      <c r="K68" s="147">
        <v>2.25</v>
      </c>
      <c r="L68" s="65" t="s">
        <v>858</v>
      </c>
      <c r="M68" s="148" t="s">
        <v>227</v>
      </c>
      <c r="N68" s="148" t="s">
        <v>227</v>
      </c>
      <c r="O68" s="148" t="s">
        <v>227</v>
      </c>
      <c r="P68" s="127" t="e">
        <f t="shared" si="6"/>
        <v>#VALUE!</v>
      </c>
      <c r="Q68" s="127" t="e">
        <f t="shared" si="7"/>
        <v>#VALUE!</v>
      </c>
      <c r="R68" s="145">
        <v>1</v>
      </c>
      <c r="S68" s="145">
        <v>0.92</v>
      </c>
      <c r="T68" s="146">
        <v>3.2000000000000001E-2</v>
      </c>
      <c r="U68" t="str">
        <f t="shared" si="11"/>
        <v>R0D</v>
      </c>
      <c r="V68">
        <f t="shared" si="12"/>
        <v>4</v>
      </c>
      <c r="W68">
        <f t="shared" si="13"/>
        <v>2</v>
      </c>
      <c r="X68" s="40">
        <f>IF('Amputation Summary'!$Q$33=2,RANK(S68,S$8:S$74,1)+COUNTIF($S$8:S68,S68)-1,IF('Amputation Summary'!$Q$33=1,RANK(R68,R$8:R$74,1)+COUNTIF($R68:R68,R68)-1))</f>
        <v>57</v>
      </c>
      <c r="Y68" s="6">
        <f>IF( 'Amputation Summary'!$Q$33=2, S68, IF('Amputation Summary'!$Q$33=1,R68))</f>
        <v>1</v>
      </c>
      <c r="Z68" s="144" t="s">
        <v>227</v>
      </c>
      <c r="AA68" s="65" t="s">
        <v>227</v>
      </c>
      <c r="AB68" t="e">
        <f t="shared" si="8"/>
        <v>#VALUE!</v>
      </c>
      <c r="AC68" t="s">
        <v>227</v>
      </c>
      <c r="AD68" t="e">
        <f t="shared" si="9"/>
        <v>#VALUE!</v>
      </c>
      <c r="AE68">
        <v>59</v>
      </c>
      <c r="AF68" s="40">
        <f t="shared" si="10"/>
        <v>59</v>
      </c>
      <c r="AG68" s="9" t="str">
        <f>IF('Amputation Summary'!$O$4=2, M68, IF('Amputation Summary'!$O$4=1,Z68))</f>
        <v>xx</v>
      </c>
      <c r="AH68" s="9" t="e">
        <f>IF('Amputation Summary'!$O$4=2, P68, IF('Amputation Summary'!$O$4=1,AB68))</f>
        <v>#VALUE!</v>
      </c>
      <c r="AI68" s="9" t="e">
        <f>IF('Amputation Summary'!$O$4=2, Q68, IF('Amputation Summary'!$O$4=1,AD68))</f>
        <v>#VALUE!</v>
      </c>
      <c r="AJ68">
        <v>1</v>
      </c>
      <c r="AK68" s="108">
        <f t="shared" si="14"/>
        <v>1.54</v>
      </c>
      <c r="AL68" s="108">
        <f t="shared" si="15"/>
        <v>0.48</v>
      </c>
      <c r="AM68">
        <v>18</v>
      </c>
    </row>
    <row r="69" spans="1:39" x14ac:dyDescent="0.25">
      <c r="A69" t="s">
        <v>87</v>
      </c>
      <c r="B69" t="s">
        <v>228</v>
      </c>
      <c r="C69" s="144">
        <v>54</v>
      </c>
      <c r="D69" s="65">
        <v>122</v>
      </c>
      <c r="E69" s="65" t="s">
        <v>801</v>
      </c>
      <c r="F69" s="146">
        <v>1</v>
      </c>
      <c r="G69" s="65">
        <v>30</v>
      </c>
      <c r="H69" s="65">
        <v>24</v>
      </c>
      <c r="I69" s="147">
        <v>1.25</v>
      </c>
      <c r="J69" s="147">
        <v>0.73</v>
      </c>
      <c r="K69" s="147">
        <v>2.14</v>
      </c>
      <c r="L69" s="65" t="s">
        <v>859</v>
      </c>
      <c r="M69" s="148">
        <v>100</v>
      </c>
      <c r="N69" s="148">
        <v>91.4</v>
      </c>
      <c r="O69" s="148">
        <v>100</v>
      </c>
      <c r="P69" s="127">
        <f t="shared" si="6"/>
        <v>8.5999999999999943</v>
      </c>
      <c r="Q69" s="127">
        <f t="shared" si="7"/>
        <v>0</v>
      </c>
      <c r="R69" s="145">
        <v>0.98</v>
      </c>
      <c r="S69" s="145">
        <v>0.96</v>
      </c>
      <c r="T69" s="146">
        <v>5.2999999999999999E-2</v>
      </c>
      <c r="U69" t="str">
        <f t="shared" si="11"/>
        <v>RTG</v>
      </c>
      <c r="V69">
        <f t="shared" si="12"/>
        <v>4</v>
      </c>
      <c r="W69">
        <f t="shared" si="13"/>
        <v>2</v>
      </c>
      <c r="X69" s="40">
        <f>IF('Amputation Summary'!$Q$33=2,RANK(S69,S$8:S$74,1)+COUNTIF($S$8:S69,S69)-1,IF('Amputation Summary'!$Q$33=1,RANK(R69,R$8:R$74,1)+COUNTIF($R69:R69,R69)-1))</f>
        <v>52</v>
      </c>
      <c r="Y69" s="6">
        <f>IF( 'Amputation Summary'!$Q$33=2, S69, IF('Amputation Summary'!$Q$33=1,R69))</f>
        <v>0.98</v>
      </c>
      <c r="Z69" s="144">
        <v>3</v>
      </c>
      <c r="AA69" s="65">
        <v>2</v>
      </c>
      <c r="AB69">
        <f t="shared" si="8"/>
        <v>1</v>
      </c>
      <c r="AC69">
        <v>8</v>
      </c>
      <c r="AD69">
        <f t="shared" si="9"/>
        <v>5</v>
      </c>
      <c r="AE69">
        <v>4</v>
      </c>
      <c r="AF69" s="40">
        <f t="shared" si="10"/>
        <v>4</v>
      </c>
      <c r="AG69" s="9">
        <f>IF('Amputation Summary'!$O$4=2, M69, IF('Amputation Summary'!$O$4=1,Z69))</f>
        <v>3</v>
      </c>
      <c r="AH69" s="9">
        <f>IF('Amputation Summary'!$O$4=2, P69, IF('Amputation Summary'!$O$4=1,AB69))</f>
        <v>1</v>
      </c>
      <c r="AI69" s="9">
        <f>IF('Amputation Summary'!$O$4=2, Q69, IF('Amputation Summary'!$O$4=1,AD69))</f>
        <v>5</v>
      </c>
      <c r="AJ69">
        <v>1</v>
      </c>
      <c r="AK69" s="108">
        <f t="shared" si="14"/>
        <v>0.89000000000000012</v>
      </c>
      <c r="AL69" s="108">
        <f t="shared" si="15"/>
        <v>0.52</v>
      </c>
      <c r="AM69">
        <v>43</v>
      </c>
    </row>
    <row r="70" spans="1:39" x14ac:dyDescent="0.25">
      <c r="A70" t="s">
        <v>99</v>
      </c>
      <c r="B70" t="s">
        <v>100</v>
      </c>
      <c r="C70" s="144">
        <v>60</v>
      </c>
      <c r="D70" s="65">
        <v>146</v>
      </c>
      <c r="E70" s="65" t="s">
        <v>802</v>
      </c>
      <c r="F70" s="146">
        <v>0.76800000000000002</v>
      </c>
      <c r="G70" s="65">
        <v>25</v>
      </c>
      <c r="H70" s="65">
        <v>35</v>
      </c>
      <c r="I70" s="147">
        <v>0.71</v>
      </c>
      <c r="J70" s="147">
        <v>0.43</v>
      </c>
      <c r="K70" s="147">
        <v>1.19</v>
      </c>
      <c r="L70" s="65" t="s">
        <v>860</v>
      </c>
      <c r="M70" s="148">
        <v>76.8</v>
      </c>
      <c r="N70" s="148">
        <v>63.6</v>
      </c>
      <c r="O70" s="148">
        <v>87</v>
      </c>
      <c r="P70" s="127">
        <f t="shared" si="6"/>
        <v>13.199999999999996</v>
      </c>
      <c r="Q70" s="127">
        <f t="shared" si="7"/>
        <v>10.200000000000003</v>
      </c>
      <c r="R70" s="145">
        <v>0.67</v>
      </c>
      <c r="S70" s="145">
        <v>0.82</v>
      </c>
      <c r="T70" s="146">
        <v>3.5000000000000003E-2</v>
      </c>
      <c r="U70" t="str">
        <f t="shared" si="11"/>
        <v>RWE</v>
      </c>
      <c r="V70">
        <f t="shared" si="12"/>
        <v>2</v>
      </c>
      <c r="W70">
        <f t="shared" si="13"/>
        <v>1</v>
      </c>
      <c r="X70" s="40">
        <f>IF('Amputation Summary'!$Q$33=2,RANK(S70,S$8:S$74,1)+COUNTIF($S$8:S70,S70)-1,IF('Amputation Summary'!$Q$33=1,RANK(R70,R$8:R$74,1)+COUNTIF($R70:R70,R70)-1))</f>
        <v>16</v>
      </c>
      <c r="Y70" s="6">
        <f>IF( 'Amputation Summary'!$Q$33=2, S70, IF('Amputation Summary'!$Q$33=1,R70))</f>
        <v>0.67</v>
      </c>
      <c r="Z70" s="144">
        <v>9</v>
      </c>
      <c r="AA70" s="65">
        <v>2</v>
      </c>
      <c r="AB70">
        <f t="shared" si="8"/>
        <v>7</v>
      </c>
      <c r="AC70">
        <v>23</v>
      </c>
      <c r="AD70">
        <f t="shared" si="9"/>
        <v>14</v>
      </c>
      <c r="AE70">
        <v>36</v>
      </c>
      <c r="AF70" s="40">
        <f t="shared" si="10"/>
        <v>36</v>
      </c>
      <c r="AG70" s="9">
        <f>IF('Amputation Summary'!$O$4=2, M70, IF('Amputation Summary'!$O$4=1,Z70))</f>
        <v>9</v>
      </c>
      <c r="AH70" s="9">
        <f>IF('Amputation Summary'!$O$4=2, P70, IF('Amputation Summary'!$O$4=1,AB70))</f>
        <v>7</v>
      </c>
      <c r="AI70" s="9">
        <f>IF('Amputation Summary'!$O$4=2, Q70, IF('Amputation Summary'!$O$4=1,AD70))</f>
        <v>14</v>
      </c>
      <c r="AJ70">
        <v>1</v>
      </c>
      <c r="AK70" s="108">
        <f t="shared" si="14"/>
        <v>0.48</v>
      </c>
      <c r="AL70" s="108">
        <f t="shared" si="15"/>
        <v>0.27999999999999997</v>
      </c>
      <c r="AM70">
        <v>16</v>
      </c>
    </row>
    <row r="71" spans="1:39" x14ac:dyDescent="0.25">
      <c r="A71" t="s">
        <v>55</v>
      </c>
      <c r="B71" t="s">
        <v>159</v>
      </c>
      <c r="C71" s="144">
        <v>22</v>
      </c>
      <c r="D71" s="65">
        <v>59</v>
      </c>
      <c r="E71" s="65" t="s">
        <v>803</v>
      </c>
      <c r="F71" s="146">
        <v>0.66700000000000004</v>
      </c>
      <c r="G71" s="65">
        <v>10</v>
      </c>
      <c r="H71" s="65">
        <v>12</v>
      </c>
      <c r="I71" s="147">
        <v>0.83</v>
      </c>
      <c r="J71" s="147">
        <v>0.36</v>
      </c>
      <c r="K71" s="147">
        <v>1.93</v>
      </c>
      <c r="L71" s="65" t="s">
        <v>861</v>
      </c>
      <c r="M71" s="148">
        <v>66.7</v>
      </c>
      <c r="N71" s="148">
        <v>38.4</v>
      </c>
      <c r="O71" s="148">
        <v>88.2</v>
      </c>
      <c r="P71" s="127">
        <f t="shared" si="6"/>
        <v>28.300000000000004</v>
      </c>
      <c r="Q71" s="127">
        <f t="shared" si="7"/>
        <v>21.5</v>
      </c>
      <c r="R71" s="145">
        <v>1</v>
      </c>
      <c r="S71" s="145">
        <v>1</v>
      </c>
      <c r="T71" s="146">
        <v>2.8000000000000001E-2</v>
      </c>
      <c r="U71" t="str">
        <f t="shared" si="11"/>
        <v>RK9</v>
      </c>
      <c r="V71">
        <f t="shared" si="12"/>
        <v>4</v>
      </c>
      <c r="W71">
        <f t="shared" si="13"/>
        <v>4</v>
      </c>
      <c r="X71" s="40">
        <f>IF('Amputation Summary'!$Q$33=2,RANK(S71,S$8:S$74,1)+COUNTIF($S$8:S71,S71)-1,IF('Amputation Summary'!$Q$33=1,RANK(R71,R$8:R$74,1)+COUNTIF($R71:R71,R71)-1))</f>
        <v>57</v>
      </c>
      <c r="Y71" s="6">
        <f>IF( 'Amputation Summary'!$Q$33=2, S71, IF('Amputation Summary'!$Q$33=1,R71))</f>
        <v>1</v>
      </c>
      <c r="Z71" s="144">
        <v>13</v>
      </c>
      <c r="AA71" s="65">
        <v>4</v>
      </c>
      <c r="AB71">
        <f t="shared" si="8"/>
        <v>9</v>
      </c>
      <c r="AC71">
        <v>41</v>
      </c>
      <c r="AD71">
        <f t="shared" si="9"/>
        <v>28</v>
      </c>
      <c r="AE71">
        <v>48</v>
      </c>
      <c r="AF71" s="40">
        <f t="shared" si="10"/>
        <v>48</v>
      </c>
      <c r="AG71" s="9">
        <f>IF('Amputation Summary'!$O$4=2, M71, IF('Amputation Summary'!$O$4=1,Z71))</f>
        <v>13</v>
      </c>
      <c r="AH71" s="9">
        <f>IF('Amputation Summary'!$O$4=2, P71, IF('Amputation Summary'!$O$4=1,AB71))</f>
        <v>9</v>
      </c>
      <c r="AI71" s="9">
        <f>IF('Amputation Summary'!$O$4=2, Q71, IF('Amputation Summary'!$O$4=1,AD71))</f>
        <v>28</v>
      </c>
      <c r="AJ71">
        <v>1</v>
      </c>
      <c r="AK71" s="108">
        <f t="shared" si="14"/>
        <v>1.1000000000000001</v>
      </c>
      <c r="AL71" s="108">
        <f t="shared" si="15"/>
        <v>0.47</v>
      </c>
      <c r="AM71">
        <v>26</v>
      </c>
    </row>
    <row r="72" spans="1:39" x14ac:dyDescent="0.25">
      <c r="A72" t="s">
        <v>101</v>
      </c>
      <c r="B72" t="s">
        <v>452</v>
      </c>
      <c r="C72" s="144">
        <v>10</v>
      </c>
      <c r="D72" s="65">
        <v>29</v>
      </c>
      <c r="E72" s="65" t="s">
        <v>227</v>
      </c>
      <c r="F72" s="146" t="s">
        <v>227</v>
      </c>
      <c r="G72" s="65">
        <v>4</v>
      </c>
      <c r="H72" s="65">
        <v>6</v>
      </c>
      <c r="I72" s="147">
        <v>0.67</v>
      </c>
      <c r="J72" s="147">
        <v>0.19</v>
      </c>
      <c r="K72" s="147">
        <v>2.36</v>
      </c>
      <c r="L72" s="65" t="s">
        <v>862</v>
      </c>
      <c r="M72" s="148" t="s">
        <v>227</v>
      </c>
      <c r="N72" s="148" t="s">
        <v>227</v>
      </c>
      <c r="O72" s="148" t="s">
        <v>227</v>
      </c>
      <c r="P72" s="127" t="e">
        <f t="shared" si="6"/>
        <v>#VALUE!</v>
      </c>
      <c r="Q72" s="127" t="e">
        <f t="shared" si="7"/>
        <v>#VALUE!</v>
      </c>
      <c r="R72" s="145">
        <v>0.6</v>
      </c>
      <c r="S72" s="145">
        <v>1</v>
      </c>
      <c r="T72" s="146">
        <v>4.3999999999999997E-2</v>
      </c>
      <c r="U72" t="str">
        <f t="shared" si="11"/>
        <v>RWG</v>
      </c>
      <c r="V72">
        <f t="shared" si="12"/>
        <v>1</v>
      </c>
      <c r="W72">
        <f t="shared" si="13"/>
        <v>4</v>
      </c>
      <c r="X72" s="40">
        <f>IF('Amputation Summary'!$Q$33=2,RANK(S72,S$8:S$74,1)+COUNTIF($S$8:S72,S72)-1,IF('Amputation Summary'!$Q$33=1,RANK(R72,R$8:R$74,1)+COUNTIF($R72:R72,R72)-1))</f>
        <v>9</v>
      </c>
      <c r="Y72" s="6">
        <f>IF( 'Amputation Summary'!$Q$33=2, S72, IF('Amputation Summary'!$Q$33=1,R72))</f>
        <v>0.6</v>
      </c>
      <c r="Z72" s="144" t="s">
        <v>227</v>
      </c>
      <c r="AA72" s="65" t="s">
        <v>227</v>
      </c>
      <c r="AB72" t="e">
        <f t="shared" si="8"/>
        <v>#VALUE!</v>
      </c>
      <c r="AC72">
        <v>15</v>
      </c>
      <c r="AD72" t="e">
        <f t="shared" si="9"/>
        <v>#VALUE!</v>
      </c>
      <c r="AE72">
        <v>63</v>
      </c>
      <c r="AF72" s="40">
        <f t="shared" si="10"/>
        <v>63</v>
      </c>
      <c r="AG72" s="9" t="str">
        <f>IF('Amputation Summary'!$O$4=2, M72, IF('Amputation Summary'!$O$4=1,Z72))</f>
        <v>xx</v>
      </c>
      <c r="AH72" s="9" t="e">
        <f>IF('Amputation Summary'!$O$4=2, P72, IF('Amputation Summary'!$O$4=1,AB72))</f>
        <v>#VALUE!</v>
      </c>
      <c r="AI72" s="9" t="e">
        <f>IF('Amputation Summary'!$O$4=2, Q72, IF('Amputation Summary'!$O$4=1,AD72))</f>
        <v>#VALUE!</v>
      </c>
      <c r="AJ72">
        <v>1</v>
      </c>
      <c r="AK72" s="108">
        <f t="shared" si="14"/>
        <v>1.69</v>
      </c>
      <c r="AL72" s="108">
        <f t="shared" si="15"/>
        <v>0.48000000000000004</v>
      </c>
      <c r="AM72">
        <v>14</v>
      </c>
    </row>
    <row r="73" spans="1:39" x14ac:dyDescent="0.25">
      <c r="A73" t="s">
        <v>105</v>
      </c>
      <c r="B73" t="s">
        <v>106</v>
      </c>
      <c r="C73" s="144">
        <v>45</v>
      </c>
      <c r="D73" s="65">
        <v>126</v>
      </c>
      <c r="E73" s="65" t="s">
        <v>331</v>
      </c>
      <c r="F73" s="146">
        <v>0.96799999999999997</v>
      </c>
      <c r="G73" s="65">
        <v>17</v>
      </c>
      <c r="H73" s="65">
        <v>28</v>
      </c>
      <c r="I73" s="147">
        <v>0.61</v>
      </c>
      <c r="J73" s="147">
        <v>0.33</v>
      </c>
      <c r="K73" s="147">
        <v>1.1100000000000001</v>
      </c>
      <c r="L73" s="65" t="s">
        <v>863</v>
      </c>
      <c r="M73" s="148">
        <v>96.8</v>
      </c>
      <c r="N73" s="148">
        <v>83.3</v>
      </c>
      <c r="O73" s="148">
        <v>99.9</v>
      </c>
      <c r="P73" s="127">
        <f t="shared" ref="P73:P74" si="16">M73-N73</f>
        <v>13.5</v>
      </c>
      <c r="Q73" s="127">
        <f t="shared" ref="Q73:Q74" si="17">O73-M73</f>
        <v>3.1000000000000085</v>
      </c>
      <c r="R73" s="145">
        <v>0.89</v>
      </c>
      <c r="S73" s="145">
        <v>0.98</v>
      </c>
      <c r="T73" s="146">
        <v>7.0999999999999994E-2</v>
      </c>
      <c r="U73" t="str">
        <f t="shared" si="11"/>
        <v>RWP</v>
      </c>
      <c r="V73">
        <f t="shared" si="12"/>
        <v>3</v>
      </c>
      <c r="W73">
        <f t="shared" si="13"/>
        <v>3</v>
      </c>
      <c r="X73" s="40">
        <f>IF('Amputation Summary'!$Q$33=2,RANK(S73,S$8:S$74,1)+COUNTIF($S$8:S73,S73)-1,IF('Amputation Summary'!$Q$33=1,RANK(R73,R$8:R$74,1)+COUNTIF($R73:R73,R73)-1))</f>
        <v>36</v>
      </c>
      <c r="Y73" s="6">
        <f>IF( 'Amputation Summary'!$Q$33=2, S73, IF('Amputation Summary'!$Q$33=1,R73))</f>
        <v>0.89</v>
      </c>
      <c r="Z73" s="144">
        <v>8</v>
      </c>
      <c r="AA73" s="65">
        <v>3</v>
      </c>
      <c r="AB73">
        <f t="shared" ref="AB73:AB74" si="18">Z73-AA73</f>
        <v>5</v>
      </c>
      <c r="AC73">
        <v>16</v>
      </c>
      <c r="AD73">
        <f t="shared" ref="AD73:AD74" si="19">AC73-Z73</f>
        <v>8</v>
      </c>
      <c r="AE73">
        <v>34</v>
      </c>
      <c r="AF73" s="40">
        <f t="shared" ref="AF73:AF74" si="20">AE73</f>
        <v>34</v>
      </c>
      <c r="AG73" s="9">
        <f>IF('Amputation Summary'!$O$4=2, M73, IF('Amputation Summary'!$O$4=1,Z73))</f>
        <v>8</v>
      </c>
      <c r="AH73" s="9">
        <f>IF('Amputation Summary'!$O$4=2, P73, IF('Amputation Summary'!$O$4=1,AB73))</f>
        <v>5</v>
      </c>
      <c r="AI73" s="9">
        <f>IF('Amputation Summary'!$O$4=2, Q73, IF('Amputation Summary'!$O$4=1,AD73))</f>
        <v>8</v>
      </c>
      <c r="AJ73">
        <v>1</v>
      </c>
      <c r="AK73" s="108">
        <f t="shared" ref="AK73:AK74" si="21">K73-I73</f>
        <v>0.50000000000000011</v>
      </c>
      <c r="AL73" s="108">
        <f t="shared" ref="AL73:AL74" si="22">I73-J73</f>
        <v>0.27999999999999997</v>
      </c>
      <c r="AM73">
        <v>13</v>
      </c>
    </row>
    <row r="74" spans="1:39" x14ac:dyDescent="0.25">
      <c r="A74" t="s">
        <v>22</v>
      </c>
      <c r="B74" t="s">
        <v>23</v>
      </c>
      <c r="C74" s="144">
        <v>47</v>
      </c>
      <c r="D74" s="65">
        <v>122</v>
      </c>
      <c r="E74" s="65" t="s">
        <v>804</v>
      </c>
      <c r="F74" s="146">
        <v>0.6</v>
      </c>
      <c r="G74" s="65">
        <v>16</v>
      </c>
      <c r="H74" s="65">
        <v>31</v>
      </c>
      <c r="I74" s="147">
        <v>0.52</v>
      </c>
      <c r="J74" s="147">
        <v>0.28000000000000003</v>
      </c>
      <c r="K74" s="147">
        <v>0.94</v>
      </c>
      <c r="L74" s="65" t="s">
        <v>457</v>
      </c>
      <c r="M74" s="148">
        <v>60</v>
      </c>
      <c r="N74" s="148">
        <v>40.6</v>
      </c>
      <c r="O74" s="148">
        <v>77.3</v>
      </c>
      <c r="P74" s="127">
        <f t="shared" si="16"/>
        <v>19.399999999999999</v>
      </c>
      <c r="Q74" s="127">
        <f t="shared" si="17"/>
        <v>17.299999999999997</v>
      </c>
      <c r="R74" s="145">
        <v>0.85</v>
      </c>
      <c r="S74" s="145">
        <v>0.98</v>
      </c>
      <c r="T74" s="146">
        <v>0.11700000000000001</v>
      </c>
      <c r="U74" t="str">
        <f t="shared" si="11"/>
        <v>RCB</v>
      </c>
      <c r="V74">
        <f t="shared" si="12"/>
        <v>3</v>
      </c>
      <c r="W74">
        <f t="shared" si="13"/>
        <v>3</v>
      </c>
      <c r="X74" s="40">
        <f>IF('Amputation Summary'!$Q$33=2,RANK(S74,S$8:S$74,1)+COUNTIF($S$8:S74,S74)-1,IF('Amputation Summary'!$Q$33=1,RANK(R74,R$8:R$74,1)+COUNTIF($R74:R74,R74)-1))</f>
        <v>32</v>
      </c>
      <c r="Y74" s="6">
        <f>IF( 'Amputation Summary'!$Q$33=2, S74, IF('Amputation Summary'!$Q$33=1,R74))</f>
        <v>0.85</v>
      </c>
      <c r="Z74" s="144">
        <v>14</v>
      </c>
      <c r="AA74" s="65">
        <v>3</v>
      </c>
      <c r="AB74">
        <f t="shared" si="18"/>
        <v>11</v>
      </c>
      <c r="AC74">
        <v>79</v>
      </c>
      <c r="AD74">
        <f t="shared" si="19"/>
        <v>65</v>
      </c>
      <c r="AE74">
        <v>51</v>
      </c>
      <c r="AF74" s="40">
        <f t="shared" si="20"/>
        <v>51</v>
      </c>
      <c r="AG74" s="9">
        <f>IF('Amputation Summary'!$O$4=2, M74, IF('Amputation Summary'!$O$4=1,Z74))</f>
        <v>14</v>
      </c>
      <c r="AH74" s="9">
        <f>IF('Amputation Summary'!$O$4=2, P74, IF('Amputation Summary'!$O$4=1,AB74))</f>
        <v>11</v>
      </c>
      <c r="AI74" s="9">
        <f>IF('Amputation Summary'!$O$4=2, Q74, IF('Amputation Summary'!$O$4=1,AD74))</f>
        <v>65</v>
      </c>
      <c r="AJ74">
        <v>1</v>
      </c>
      <c r="AK74" s="108">
        <f t="shared" si="21"/>
        <v>0.41999999999999993</v>
      </c>
      <c r="AL74" s="108">
        <f t="shared" si="22"/>
        <v>0.24</v>
      </c>
      <c r="AM74">
        <v>8</v>
      </c>
    </row>
  </sheetData>
  <sortState ref="A2:P79">
    <sortCondition ref="B2"/>
  </sortState>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zoomScaleNormal="100" workbookViewId="0">
      <selection activeCell="G2" sqref="G2"/>
    </sheetView>
  </sheetViews>
  <sheetFormatPr defaultRowHeight="15" x14ac:dyDescent="0.25"/>
  <cols>
    <col min="1" max="1" width="15.28515625" bestFit="1" customWidth="1"/>
    <col min="2" max="2" width="11" style="60" bestFit="1" customWidth="1"/>
    <col min="3" max="3" width="8.5703125" style="60" bestFit="1" customWidth="1"/>
    <col min="4" max="4" width="8.5703125" bestFit="1" customWidth="1"/>
  </cols>
  <sheetData>
    <row r="1" spans="1:7" x14ac:dyDescent="0.25">
      <c r="A1" t="s">
        <v>238</v>
      </c>
      <c r="B1" s="60" t="s">
        <v>239</v>
      </c>
      <c r="C1" s="60" t="s">
        <v>241</v>
      </c>
      <c r="D1" t="s">
        <v>242</v>
      </c>
      <c r="E1" t="s">
        <v>289</v>
      </c>
      <c r="F1" t="s">
        <v>715</v>
      </c>
      <c r="G1" t="s">
        <v>714</v>
      </c>
    </row>
    <row r="2" spans="1:7" x14ac:dyDescent="0.25">
      <c r="A2" t="s">
        <v>282</v>
      </c>
      <c r="B2" s="124">
        <v>0</v>
      </c>
      <c r="C2" s="6">
        <v>0.6</v>
      </c>
      <c r="D2" s="125">
        <v>6.5000000000000002E-2</v>
      </c>
      <c r="E2" s="125"/>
      <c r="G2" s="6">
        <v>0.3</v>
      </c>
    </row>
    <row r="3" spans="1:7" x14ac:dyDescent="0.25">
      <c r="A3" t="s">
        <v>282</v>
      </c>
      <c r="B3" s="149">
        <v>6</v>
      </c>
      <c r="C3" s="6">
        <v>0.3</v>
      </c>
      <c r="D3" s="125">
        <v>6.5000000000000002E-2</v>
      </c>
      <c r="E3" s="125"/>
      <c r="G3" s="6">
        <v>0.3</v>
      </c>
    </row>
    <row r="4" spans="1:7" x14ac:dyDescent="0.25">
      <c r="A4" t="s">
        <v>282</v>
      </c>
      <c r="B4" s="149">
        <v>15</v>
      </c>
      <c r="C4" s="6">
        <v>0.3</v>
      </c>
      <c r="D4" s="125">
        <v>6.5000000000000002E-2</v>
      </c>
      <c r="E4" s="125"/>
      <c r="G4" s="6">
        <v>0.254</v>
      </c>
    </row>
    <row r="5" spans="1:7" x14ac:dyDescent="0.25">
      <c r="A5" t="s">
        <v>282</v>
      </c>
      <c r="B5" s="149">
        <v>17</v>
      </c>
      <c r="C5" s="6">
        <v>0.3</v>
      </c>
      <c r="D5" s="125">
        <v>6.5000000000000002E-2</v>
      </c>
      <c r="E5" s="125"/>
      <c r="G5" s="6">
        <v>0.23300000000000001</v>
      </c>
    </row>
    <row r="6" spans="1:7" x14ac:dyDescent="0.25">
      <c r="A6" t="s">
        <v>282</v>
      </c>
      <c r="B6" s="149">
        <v>20</v>
      </c>
      <c r="C6" s="6">
        <v>0.3</v>
      </c>
      <c r="D6" s="125">
        <v>6.5000000000000002E-2</v>
      </c>
      <c r="E6" s="125"/>
      <c r="G6" s="6">
        <v>0.222</v>
      </c>
    </row>
    <row r="7" spans="1:7" x14ac:dyDescent="0.25">
      <c r="A7" t="s">
        <v>282</v>
      </c>
      <c r="B7" s="149">
        <v>29</v>
      </c>
      <c r="C7" s="6">
        <v>0.26500000000000001</v>
      </c>
      <c r="D7" s="125">
        <v>6.5000000000000002E-2</v>
      </c>
      <c r="E7" s="125"/>
      <c r="G7" s="6">
        <v>0.18899999999999997</v>
      </c>
    </row>
    <row r="8" spans="1:7" x14ac:dyDescent="0.25">
      <c r="A8" t="s">
        <v>282</v>
      </c>
      <c r="B8" s="149">
        <v>30</v>
      </c>
      <c r="C8" s="6">
        <v>0.26</v>
      </c>
      <c r="D8" s="125">
        <v>6.5000000000000002E-2</v>
      </c>
      <c r="E8" s="125"/>
      <c r="G8" s="6">
        <v>0.18600000000000003</v>
      </c>
    </row>
    <row r="9" spans="1:7" x14ac:dyDescent="0.25">
      <c r="A9" t="s">
        <v>282</v>
      </c>
      <c r="B9" s="149">
        <v>35</v>
      </c>
      <c r="C9" s="6">
        <v>0.24199999999999999</v>
      </c>
      <c r="D9" s="125">
        <v>6.5000000000000002E-2</v>
      </c>
      <c r="E9" s="125"/>
      <c r="G9" s="6">
        <v>0.17100000000000001</v>
      </c>
    </row>
    <row r="10" spans="1:7" x14ac:dyDescent="0.25">
      <c r="A10" t="s">
        <v>282</v>
      </c>
      <c r="B10" s="149">
        <v>36</v>
      </c>
      <c r="C10" s="6">
        <v>0.23899999999999999</v>
      </c>
      <c r="D10" s="125">
        <v>6.5000000000000002E-2</v>
      </c>
      <c r="E10" s="125"/>
      <c r="G10" s="6">
        <v>0.17100000000000001</v>
      </c>
    </row>
    <row r="11" spans="1:7" x14ac:dyDescent="0.25">
      <c r="A11" t="s">
        <v>282</v>
      </c>
      <c r="B11" s="149">
        <v>38</v>
      </c>
      <c r="C11" s="6">
        <v>0.23199999999999998</v>
      </c>
      <c r="D11" s="125">
        <v>6.5000000000000002E-2</v>
      </c>
      <c r="E11" s="125"/>
      <c r="G11" s="6">
        <v>0.16899999999999998</v>
      </c>
    </row>
    <row r="12" spans="1:7" x14ac:dyDescent="0.25">
      <c r="A12" t="s">
        <v>282</v>
      </c>
      <c r="B12" s="149">
        <v>59</v>
      </c>
      <c r="C12" s="6">
        <v>0.193</v>
      </c>
      <c r="D12" s="125">
        <v>6.5000000000000002E-2</v>
      </c>
      <c r="E12" s="125"/>
      <c r="F12" s="6">
        <v>1E-3</v>
      </c>
      <c r="G12" s="6">
        <v>0.14499999999999999</v>
      </c>
    </row>
    <row r="13" spans="1:7" x14ac:dyDescent="0.25">
      <c r="A13" t="s">
        <v>282</v>
      </c>
      <c r="B13" s="149">
        <v>64</v>
      </c>
      <c r="C13" s="6">
        <v>0.18600000000000003</v>
      </c>
      <c r="D13" s="125">
        <v>6.5000000000000002E-2</v>
      </c>
      <c r="E13" s="125"/>
      <c r="F13" s="6">
        <v>3.0000000000000001E-3</v>
      </c>
      <c r="G13" s="6">
        <v>0.14000000000000001</v>
      </c>
    </row>
    <row r="14" spans="1:7" x14ac:dyDescent="0.25">
      <c r="A14" t="s">
        <v>282</v>
      </c>
      <c r="B14" s="149">
        <v>66</v>
      </c>
      <c r="C14" s="6">
        <v>0.184</v>
      </c>
      <c r="D14" s="125">
        <v>6.5000000000000002E-2</v>
      </c>
      <c r="E14" s="125"/>
      <c r="F14" s="6">
        <v>4.0000000000000001E-3</v>
      </c>
      <c r="G14" s="6">
        <v>0.13900000000000001</v>
      </c>
    </row>
    <row r="15" spans="1:7" x14ac:dyDescent="0.25">
      <c r="A15" t="s">
        <v>282</v>
      </c>
      <c r="B15" s="149">
        <v>69</v>
      </c>
      <c r="C15" s="6">
        <v>0.182</v>
      </c>
      <c r="D15" s="125">
        <v>6.5000000000000002E-2</v>
      </c>
      <c r="E15" s="125"/>
      <c r="F15" s="6">
        <v>5.0000000000000001E-3</v>
      </c>
      <c r="G15" s="6">
        <v>0.13800000000000001</v>
      </c>
    </row>
    <row r="16" spans="1:7" x14ac:dyDescent="0.25">
      <c r="A16" t="s">
        <v>282</v>
      </c>
      <c r="B16" s="149">
        <v>72</v>
      </c>
      <c r="C16" s="6">
        <v>0.17800000000000002</v>
      </c>
      <c r="D16" s="125">
        <v>6.5000000000000002E-2</v>
      </c>
      <c r="E16" s="125"/>
      <c r="F16" s="6">
        <v>6.0000000000000001E-3</v>
      </c>
      <c r="G16" s="6">
        <v>0.13600000000000001</v>
      </c>
    </row>
    <row r="17" spans="1:7" x14ac:dyDescent="0.25">
      <c r="A17" t="s">
        <v>282</v>
      </c>
      <c r="B17" s="149">
        <v>78</v>
      </c>
      <c r="C17" s="6">
        <v>0.17399999999999999</v>
      </c>
      <c r="D17" s="125">
        <v>6.5000000000000002E-2</v>
      </c>
      <c r="E17" s="125"/>
      <c r="F17" s="6">
        <v>9.0000000000000011E-3</v>
      </c>
      <c r="G17" s="6">
        <v>0.13200000000000001</v>
      </c>
    </row>
    <row r="18" spans="1:7" x14ac:dyDescent="0.25">
      <c r="A18" t="s">
        <v>282</v>
      </c>
      <c r="B18" s="149">
        <v>82</v>
      </c>
      <c r="C18" s="6">
        <v>0.17</v>
      </c>
      <c r="D18" s="125">
        <v>6.5000000000000002E-2</v>
      </c>
      <c r="E18" s="125"/>
      <c r="F18" s="6">
        <v>1.2E-2</v>
      </c>
      <c r="G18" s="6">
        <v>0.13</v>
      </c>
    </row>
    <row r="19" spans="1:7" x14ac:dyDescent="0.25">
      <c r="A19" t="s">
        <v>282</v>
      </c>
      <c r="B19" s="149">
        <v>85</v>
      </c>
      <c r="C19" s="6">
        <v>0.16800000000000001</v>
      </c>
      <c r="D19" s="125">
        <v>6.5000000000000002E-2</v>
      </c>
      <c r="E19" s="125"/>
      <c r="F19" s="6">
        <v>1.2E-2</v>
      </c>
      <c r="G19" s="6">
        <v>0.128</v>
      </c>
    </row>
    <row r="20" spans="1:7" x14ac:dyDescent="0.25">
      <c r="A20" t="s">
        <v>282</v>
      </c>
      <c r="B20" s="149">
        <v>86</v>
      </c>
      <c r="C20" s="6">
        <v>0.16699999999999998</v>
      </c>
      <c r="D20" s="125">
        <v>6.5000000000000002E-2</v>
      </c>
      <c r="E20" s="125"/>
      <c r="F20" s="6">
        <v>1.3000000000000001E-2</v>
      </c>
      <c r="G20" s="6">
        <v>0.128</v>
      </c>
    </row>
    <row r="21" spans="1:7" x14ac:dyDescent="0.25">
      <c r="A21" t="s">
        <v>282</v>
      </c>
      <c r="B21" s="149">
        <v>90</v>
      </c>
      <c r="C21" s="6">
        <v>0.16399999999999998</v>
      </c>
      <c r="D21" s="125">
        <v>6.5000000000000002E-2</v>
      </c>
      <c r="E21" s="125"/>
      <c r="F21" s="6">
        <v>1.3000000000000001E-2</v>
      </c>
      <c r="G21" s="6">
        <v>0.127</v>
      </c>
    </row>
    <row r="22" spans="1:7" x14ac:dyDescent="0.25">
      <c r="A22" t="s">
        <v>282</v>
      </c>
      <c r="B22" s="149">
        <v>92</v>
      </c>
      <c r="C22" s="6">
        <v>0.16300000000000001</v>
      </c>
      <c r="D22" s="125">
        <v>6.5000000000000002E-2</v>
      </c>
      <c r="E22" s="125"/>
      <c r="F22" s="6">
        <v>1.3999999999999999E-2</v>
      </c>
      <c r="G22" s="6">
        <v>0.126</v>
      </c>
    </row>
    <row r="23" spans="1:7" x14ac:dyDescent="0.25">
      <c r="A23" t="s">
        <v>282</v>
      </c>
      <c r="B23" s="149">
        <v>93</v>
      </c>
      <c r="C23" s="6">
        <v>0.16200000000000001</v>
      </c>
      <c r="D23" s="125">
        <v>6.5000000000000002E-2</v>
      </c>
      <c r="E23" s="125"/>
      <c r="F23" s="6">
        <v>1.3999999999999999E-2</v>
      </c>
      <c r="G23" s="6">
        <v>0.126</v>
      </c>
    </row>
    <row r="24" spans="1:7" x14ac:dyDescent="0.25">
      <c r="A24" t="s">
        <v>282</v>
      </c>
      <c r="B24" s="149">
        <v>100</v>
      </c>
      <c r="C24" s="6">
        <v>0.158</v>
      </c>
      <c r="D24" s="125">
        <v>6.5000000000000002E-2</v>
      </c>
      <c r="E24" s="125"/>
      <c r="F24" s="6">
        <v>1.6E-2</v>
      </c>
      <c r="G24" s="6">
        <v>0.12300000000000001</v>
      </c>
    </row>
    <row r="25" spans="1:7" x14ac:dyDescent="0.25">
      <c r="A25" t="s">
        <v>282</v>
      </c>
      <c r="B25" s="149">
        <v>102</v>
      </c>
      <c r="C25" s="6">
        <v>0.157</v>
      </c>
      <c r="D25" s="125">
        <v>6.5000000000000002E-2</v>
      </c>
      <c r="E25" s="6"/>
      <c r="F25" s="6">
        <v>1.6E-2</v>
      </c>
      <c r="G25" s="6">
        <v>0.12300000000000001</v>
      </c>
    </row>
    <row r="26" spans="1:7" x14ac:dyDescent="0.25">
      <c r="A26" t="s">
        <v>282</v>
      </c>
      <c r="B26" s="149">
        <v>106</v>
      </c>
      <c r="C26" s="6">
        <v>0.156</v>
      </c>
      <c r="D26" s="125">
        <v>6.5000000000000002E-2</v>
      </c>
      <c r="E26" s="6"/>
      <c r="F26" s="6">
        <v>1.8000000000000002E-2</v>
      </c>
      <c r="G26" s="6">
        <v>0.121</v>
      </c>
    </row>
    <row r="27" spans="1:7" x14ac:dyDescent="0.25">
      <c r="A27" t="s">
        <v>282</v>
      </c>
      <c r="B27" s="149">
        <v>107</v>
      </c>
      <c r="C27" s="6">
        <v>0.155</v>
      </c>
      <c r="D27" s="125">
        <v>6.5000000000000002E-2</v>
      </c>
      <c r="E27" s="6"/>
      <c r="F27" s="6">
        <v>1.8000000000000002E-2</v>
      </c>
      <c r="G27" s="6">
        <v>0.121</v>
      </c>
    </row>
    <row r="28" spans="1:7" x14ac:dyDescent="0.25">
      <c r="A28" t="s">
        <v>282</v>
      </c>
      <c r="B28" s="149">
        <v>112</v>
      </c>
      <c r="C28" s="6">
        <v>0.152</v>
      </c>
      <c r="D28" s="125">
        <v>6.5000000000000002E-2</v>
      </c>
      <c r="E28" s="6">
        <v>1E-3</v>
      </c>
      <c r="F28" s="6">
        <v>1.9E-2</v>
      </c>
      <c r="G28" s="6">
        <v>0.12</v>
      </c>
    </row>
    <row r="29" spans="1:7" x14ac:dyDescent="0.25">
      <c r="A29" t="s">
        <v>282</v>
      </c>
      <c r="B29" s="149">
        <v>120</v>
      </c>
      <c r="C29" s="6">
        <v>0.14899999999999999</v>
      </c>
      <c r="D29" s="125">
        <v>6.5000000000000002E-2</v>
      </c>
      <c r="E29" s="6">
        <v>2E-3</v>
      </c>
      <c r="F29" s="6">
        <v>0.02</v>
      </c>
      <c r="G29" s="6">
        <v>0.11699999999999999</v>
      </c>
    </row>
    <row r="30" spans="1:7" x14ac:dyDescent="0.25">
      <c r="A30" t="s">
        <v>282</v>
      </c>
      <c r="B30" s="149">
        <v>121</v>
      </c>
      <c r="C30" s="6">
        <v>0.14800000000000002</v>
      </c>
      <c r="D30" s="125">
        <v>6.5000000000000002E-2</v>
      </c>
      <c r="E30" s="6">
        <v>3.0000000000000001E-3</v>
      </c>
      <c r="F30" s="6">
        <v>0.02</v>
      </c>
      <c r="G30" s="6">
        <v>0.11699999999999999</v>
      </c>
    </row>
    <row r="31" spans="1:7" x14ac:dyDescent="0.25">
      <c r="A31" t="s">
        <v>282</v>
      </c>
      <c r="B31" s="149">
        <v>122</v>
      </c>
      <c r="C31" s="6">
        <v>0.14800000000000002</v>
      </c>
      <c r="D31" s="125">
        <v>6.5000000000000002E-2</v>
      </c>
      <c r="E31" s="6">
        <v>3.0000000000000001E-3</v>
      </c>
      <c r="F31" s="6">
        <v>0.02</v>
      </c>
      <c r="G31" s="6">
        <v>0.11699999999999999</v>
      </c>
    </row>
    <row r="32" spans="1:7" x14ac:dyDescent="0.25">
      <c r="A32" t="s">
        <v>282</v>
      </c>
      <c r="B32" s="149">
        <v>124</v>
      </c>
      <c r="C32" s="6">
        <v>0.14800000000000002</v>
      </c>
      <c r="D32" s="125">
        <v>6.5000000000000002E-2</v>
      </c>
      <c r="E32" s="6">
        <v>3.0000000000000001E-3</v>
      </c>
      <c r="F32" s="6">
        <v>2.1000000000000001E-2</v>
      </c>
      <c r="G32" s="6">
        <v>0.11699999999999999</v>
      </c>
    </row>
    <row r="33" spans="1:7" x14ac:dyDescent="0.25">
      <c r="A33" t="s">
        <v>282</v>
      </c>
      <c r="B33" s="149">
        <v>126</v>
      </c>
      <c r="C33" s="6">
        <v>0.14699999999999999</v>
      </c>
      <c r="D33" s="125">
        <v>6.5000000000000002E-2</v>
      </c>
      <c r="E33" s="6">
        <v>4.0000000000000001E-3</v>
      </c>
      <c r="F33" s="6">
        <v>2.1000000000000001E-2</v>
      </c>
      <c r="G33" s="6">
        <v>0.11599999999999999</v>
      </c>
    </row>
    <row r="34" spans="1:7" x14ac:dyDescent="0.25">
      <c r="A34" t="s">
        <v>282</v>
      </c>
      <c r="B34" s="149">
        <v>127</v>
      </c>
      <c r="C34" s="6">
        <v>0.14699999999999999</v>
      </c>
      <c r="D34" s="125">
        <v>6.5000000000000002E-2</v>
      </c>
      <c r="E34" s="6">
        <v>4.0000000000000001E-3</v>
      </c>
      <c r="F34" s="6">
        <v>2.2000000000000002E-2</v>
      </c>
      <c r="G34" s="6">
        <v>0.11599999999999999</v>
      </c>
    </row>
    <row r="35" spans="1:7" x14ac:dyDescent="0.25">
      <c r="A35" t="s">
        <v>282</v>
      </c>
      <c r="B35" s="149">
        <v>138</v>
      </c>
      <c r="C35" s="6">
        <v>0.14300000000000002</v>
      </c>
      <c r="D35" s="125">
        <v>6.5000000000000002E-2</v>
      </c>
      <c r="E35" s="6">
        <v>6.9999999999999993E-3</v>
      </c>
      <c r="F35" s="6">
        <v>2.3E-2</v>
      </c>
      <c r="G35" s="6">
        <v>0.114</v>
      </c>
    </row>
    <row r="36" spans="1:7" x14ac:dyDescent="0.25">
      <c r="A36" t="s">
        <v>282</v>
      </c>
      <c r="B36" s="149">
        <v>146</v>
      </c>
      <c r="C36" s="6">
        <v>0.14000000000000001</v>
      </c>
      <c r="D36" s="125">
        <v>6.5000000000000002E-2</v>
      </c>
      <c r="E36" s="6">
        <v>8.0000000000000002E-3</v>
      </c>
      <c r="F36" s="6">
        <v>2.5000000000000001E-2</v>
      </c>
      <c r="G36" s="6">
        <v>0.11199999999999999</v>
      </c>
    </row>
    <row r="37" spans="1:7" x14ac:dyDescent="0.25">
      <c r="A37" t="s">
        <v>282</v>
      </c>
      <c r="B37" s="149">
        <v>155</v>
      </c>
      <c r="C37" s="6">
        <v>0.13800000000000001</v>
      </c>
      <c r="D37" s="125">
        <v>6.5000000000000002E-2</v>
      </c>
      <c r="E37" s="6">
        <v>9.0000000000000011E-3</v>
      </c>
      <c r="F37" s="6">
        <v>2.6000000000000002E-2</v>
      </c>
      <c r="G37" s="6">
        <v>0.11</v>
      </c>
    </row>
    <row r="38" spans="1:7" x14ac:dyDescent="0.25">
      <c r="A38" t="s">
        <v>282</v>
      </c>
      <c r="B38" s="149">
        <v>161</v>
      </c>
      <c r="C38" s="6">
        <v>0.13600000000000001</v>
      </c>
      <c r="D38" s="125">
        <v>6.5000000000000002E-2</v>
      </c>
      <c r="E38" s="6">
        <v>0.01</v>
      </c>
      <c r="F38" s="6">
        <v>2.7000000000000003E-2</v>
      </c>
      <c r="G38" s="6">
        <v>0.109</v>
      </c>
    </row>
    <row r="39" spans="1:7" x14ac:dyDescent="0.25">
      <c r="A39" t="s">
        <v>282</v>
      </c>
      <c r="B39" s="149">
        <v>175</v>
      </c>
      <c r="C39" s="6">
        <v>0.13300000000000001</v>
      </c>
      <c r="D39" s="125">
        <v>6.5000000000000002E-2</v>
      </c>
      <c r="E39" s="6">
        <v>1.2E-2</v>
      </c>
      <c r="F39" s="6">
        <v>2.8999999999999998E-2</v>
      </c>
      <c r="G39" s="6">
        <v>0.107</v>
      </c>
    </row>
    <row r="40" spans="1:7" x14ac:dyDescent="0.25">
      <c r="A40" t="s">
        <v>282</v>
      </c>
      <c r="B40" s="149">
        <v>182</v>
      </c>
      <c r="C40" s="6">
        <v>0.13100000000000001</v>
      </c>
      <c r="D40" s="125">
        <v>6.5000000000000002E-2</v>
      </c>
      <c r="E40" s="6">
        <v>1.3000000000000001E-2</v>
      </c>
      <c r="F40" s="6">
        <v>2.8999999999999998E-2</v>
      </c>
      <c r="G40" s="6">
        <v>0.107</v>
      </c>
    </row>
    <row r="41" spans="1:7" x14ac:dyDescent="0.25">
      <c r="A41" t="s">
        <v>282</v>
      </c>
      <c r="B41" s="149">
        <v>184</v>
      </c>
      <c r="C41" s="6">
        <v>0.13100000000000001</v>
      </c>
      <c r="D41" s="125">
        <v>6.5000000000000002E-2</v>
      </c>
      <c r="E41" s="6">
        <v>1.3000000000000001E-2</v>
      </c>
      <c r="F41" s="6">
        <v>2.8999999999999998E-2</v>
      </c>
      <c r="G41" s="6">
        <v>0.106</v>
      </c>
    </row>
    <row r="42" spans="1:7" x14ac:dyDescent="0.25">
      <c r="A42" t="s">
        <v>282</v>
      </c>
      <c r="B42" s="149">
        <v>198</v>
      </c>
      <c r="C42" s="6">
        <v>0.128</v>
      </c>
      <c r="D42" s="125">
        <v>6.5000000000000002E-2</v>
      </c>
      <c r="E42" s="6">
        <v>1.6E-2</v>
      </c>
      <c r="F42" s="6">
        <v>3.1E-2</v>
      </c>
      <c r="G42" s="6">
        <v>0.105</v>
      </c>
    </row>
    <row r="43" spans="1:7" x14ac:dyDescent="0.25">
      <c r="A43" t="s">
        <v>282</v>
      </c>
      <c r="B43" s="149">
        <v>200</v>
      </c>
      <c r="C43" s="6">
        <v>0.128</v>
      </c>
      <c r="D43" s="125">
        <v>6.5000000000000002E-2</v>
      </c>
      <c r="E43" s="6">
        <v>1.6E-2</v>
      </c>
      <c r="F43" s="6">
        <v>3.1E-2</v>
      </c>
      <c r="G43" s="6">
        <v>0.10400000000000001</v>
      </c>
    </row>
    <row r="44" spans="1:7" x14ac:dyDescent="0.25">
      <c r="A44" t="s">
        <v>282</v>
      </c>
      <c r="B44" s="149">
        <v>203</v>
      </c>
      <c r="C44" s="6">
        <v>0.127</v>
      </c>
      <c r="D44" s="125">
        <v>6.5000000000000002E-2</v>
      </c>
      <c r="E44" s="6">
        <v>1.6E-2</v>
      </c>
      <c r="F44" s="6">
        <v>3.1E-2</v>
      </c>
      <c r="G44" s="6">
        <v>0.10400000000000001</v>
      </c>
    </row>
    <row r="45" spans="1:7" x14ac:dyDescent="0.25">
      <c r="A45" t="s">
        <v>282</v>
      </c>
      <c r="B45" s="149">
        <v>213</v>
      </c>
      <c r="C45" s="6">
        <v>0.126</v>
      </c>
      <c r="D45" s="125">
        <v>6.5000000000000002E-2</v>
      </c>
      <c r="E45" s="6">
        <v>1.7000000000000001E-2</v>
      </c>
      <c r="F45" s="6">
        <v>3.2000000000000001E-2</v>
      </c>
      <c r="G45" s="6">
        <v>0.10300000000000001</v>
      </c>
    </row>
    <row r="46" spans="1:7" x14ac:dyDescent="0.25">
      <c r="A46" t="s">
        <v>282</v>
      </c>
      <c r="B46" s="149">
        <v>215</v>
      </c>
      <c r="C46" s="6">
        <v>0.125</v>
      </c>
      <c r="D46" s="125">
        <v>6.5000000000000002E-2</v>
      </c>
      <c r="E46" s="6">
        <v>1.7000000000000001E-2</v>
      </c>
      <c r="F46" s="6">
        <v>3.2000000000000001E-2</v>
      </c>
      <c r="G46" s="6">
        <v>0.10300000000000001</v>
      </c>
    </row>
    <row r="47" spans="1:7" x14ac:dyDescent="0.25">
      <c r="A47" t="s">
        <v>282</v>
      </c>
      <c r="B47" s="149">
        <v>221</v>
      </c>
      <c r="C47" s="6">
        <v>0.125</v>
      </c>
      <c r="D47" s="125">
        <v>6.5000000000000002E-2</v>
      </c>
      <c r="E47" s="6">
        <v>1.8000000000000002E-2</v>
      </c>
      <c r="F47" s="6">
        <v>3.2000000000000001E-2</v>
      </c>
      <c r="G47" s="6">
        <v>0.10199999999999999</v>
      </c>
    </row>
    <row r="48" spans="1:7" x14ac:dyDescent="0.25">
      <c r="A48" t="s">
        <v>282</v>
      </c>
      <c r="B48" s="149">
        <v>226</v>
      </c>
      <c r="C48" s="6">
        <v>0.124</v>
      </c>
      <c r="D48" s="125">
        <v>6.5000000000000002E-2</v>
      </c>
      <c r="E48" s="6">
        <v>1.8000000000000002E-2</v>
      </c>
      <c r="F48" s="6">
        <v>3.3000000000000002E-2</v>
      </c>
      <c r="G48" s="6">
        <v>0.10199999999999999</v>
      </c>
    </row>
    <row r="49" spans="1:7" x14ac:dyDescent="0.25">
      <c r="A49" t="s">
        <v>282</v>
      </c>
      <c r="B49" s="149">
        <v>228</v>
      </c>
      <c r="C49" s="6">
        <v>0.12300000000000001</v>
      </c>
      <c r="D49" s="125">
        <v>6.5000000000000002E-2</v>
      </c>
      <c r="E49" s="6">
        <v>1.8000000000000002E-2</v>
      </c>
      <c r="F49" s="6">
        <v>3.3000000000000002E-2</v>
      </c>
      <c r="G49" s="6">
        <v>0.10199999999999999</v>
      </c>
    </row>
    <row r="50" spans="1:7" x14ac:dyDescent="0.25">
      <c r="A50" t="s">
        <v>282</v>
      </c>
      <c r="B50" s="149">
        <v>232</v>
      </c>
      <c r="C50" s="6">
        <v>0.12300000000000001</v>
      </c>
      <c r="D50" s="125">
        <v>6.5000000000000002E-2</v>
      </c>
      <c r="E50" s="6">
        <v>1.9E-2</v>
      </c>
      <c r="F50" s="6">
        <v>3.3000000000000002E-2</v>
      </c>
      <c r="G50" s="6">
        <v>0.10099999999999999</v>
      </c>
    </row>
    <row r="51" spans="1:7" x14ac:dyDescent="0.25">
      <c r="A51" t="s">
        <v>282</v>
      </c>
      <c r="B51" s="149">
        <v>249</v>
      </c>
      <c r="C51" s="6">
        <v>0.12</v>
      </c>
      <c r="D51" s="125">
        <v>6.5000000000000002E-2</v>
      </c>
      <c r="E51" s="6">
        <v>0.02</v>
      </c>
      <c r="F51" s="6">
        <v>3.4000000000000002E-2</v>
      </c>
      <c r="G51" s="6">
        <v>0.1</v>
      </c>
    </row>
    <row r="52" spans="1:7" x14ac:dyDescent="0.25">
      <c r="A52" t="s">
        <v>282</v>
      </c>
      <c r="B52" s="149">
        <v>251</v>
      </c>
      <c r="C52" s="6">
        <v>0.12</v>
      </c>
      <c r="D52" s="125">
        <v>6.5000000000000002E-2</v>
      </c>
      <c r="E52" s="6">
        <v>0.02</v>
      </c>
      <c r="F52" s="6">
        <v>3.4000000000000002E-2</v>
      </c>
      <c r="G52" s="6">
        <v>0.1</v>
      </c>
    </row>
    <row r="53" spans="1:7" x14ac:dyDescent="0.25">
      <c r="A53" t="s">
        <v>282</v>
      </c>
      <c r="B53" s="149">
        <v>257</v>
      </c>
      <c r="C53" s="6">
        <v>0.12</v>
      </c>
      <c r="D53" s="125">
        <v>6.5000000000000002E-2</v>
      </c>
      <c r="E53" s="6">
        <v>2.1000000000000001E-2</v>
      </c>
      <c r="F53" s="6">
        <v>3.5000000000000003E-2</v>
      </c>
      <c r="G53" s="6">
        <v>9.9000000000000005E-2</v>
      </c>
    </row>
    <row r="54" spans="1:7" x14ac:dyDescent="0.25">
      <c r="A54" t="s">
        <v>282</v>
      </c>
      <c r="B54" s="149">
        <v>270</v>
      </c>
      <c r="C54" s="6">
        <v>0.11800000000000001</v>
      </c>
      <c r="D54" s="125">
        <v>6.5000000000000002E-2</v>
      </c>
      <c r="E54" s="6">
        <v>2.2000000000000002E-2</v>
      </c>
      <c r="F54" s="6">
        <v>3.6000000000000004E-2</v>
      </c>
      <c r="G54" s="6">
        <v>9.8000000000000004E-2</v>
      </c>
    </row>
    <row r="55" spans="1:7" x14ac:dyDescent="0.25">
      <c r="A55" t="s">
        <v>282</v>
      </c>
      <c r="B55" s="149">
        <v>274</v>
      </c>
      <c r="C55" s="6">
        <v>0.11800000000000001</v>
      </c>
      <c r="D55" s="125">
        <v>6.5000000000000002E-2</v>
      </c>
      <c r="E55" s="6">
        <v>2.2000000000000002E-2</v>
      </c>
      <c r="F55" s="6">
        <v>3.6000000000000004E-2</v>
      </c>
      <c r="G55" s="6">
        <v>9.8000000000000004E-2</v>
      </c>
    </row>
    <row r="56" spans="1:7" x14ac:dyDescent="0.25">
      <c r="A56" t="s">
        <v>282</v>
      </c>
      <c r="B56" s="149">
        <v>284</v>
      </c>
      <c r="C56" s="6">
        <v>0.11699999999999999</v>
      </c>
      <c r="D56" s="125">
        <v>6.5000000000000002E-2</v>
      </c>
      <c r="E56" s="6">
        <v>2.3E-2</v>
      </c>
      <c r="F56" s="6">
        <v>3.6000000000000004E-2</v>
      </c>
      <c r="G56" s="6">
        <v>9.6999999999999989E-2</v>
      </c>
    </row>
    <row r="57" spans="1:7" x14ac:dyDescent="0.25">
      <c r="A57" t="s">
        <v>282</v>
      </c>
      <c r="B57" s="149">
        <v>291</v>
      </c>
      <c r="C57" s="6">
        <v>0.11599999999999999</v>
      </c>
      <c r="D57" s="125">
        <v>6.5000000000000002E-2</v>
      </c>
      <c r="E57" s="6">
        <v>2.4E-2</v>
      </c>
      <c r="F57" s="6">
        <v>3.7000000000000005E-2</v>
      </c>
      <c r="G57" s="6">
        <v>9.6999999999999989E-2</v>
      </c>
    </row>
    <row r="58" spans="1:7" x14ac:dyDescent="0.25">
      <c r="A58" t="s">
        <v>282</v>
      </c>
      <c r="B58" s="149">
        <v>301</v>
      </c>
      <c r="C58" s="6">
        <v>0.115</v>
      </c>
      <c r="D58" s="125">
        <v>6.5000000000000002E-2</v>
      </c>
      <c r="E58" s="6">
        <v>2.4E-2</v>
      </c>
      <c r="F58" s="6">
        <v>3.7000000000000005E-2</v>
      </c>
      <c r="G58" s="6">
        <v>9.6000000000000002E-2</v>
      </c>
    </row>
    <row r="59" spans="1:7" x14ac:dyDescent="0.25">
      <c r="A59" t="s">
        <v>282</v>
      </c>
      <c r="B59" s="149">
        <v>342</v>
      </c>
      <c r="C59" s="6">
        <v>0.11199999999999999</v>
      </c>
      <c r="D59" s="125">
        <v>6.5000000000000002E-2</v>
      </c>
      <c r="E59" s="6">
        <v>2.7000000000000003E-2</v>
      </c>
      <c r="F59" s="6">
        <v>3.9E-2</v>
      </c>
      <c r="G59" s="6">
        <v>9.4E-2</v>
      </c>
    </row>
    <row r="60" spans="1:7" x14ac:dyDescent="0.25">
      <c r="A60" t="s">
        <v>282</v>
      </c>
      <c r="B60" s="149">
        <v>372</v>
      </c>
      <c r="C60" s="6">
        <v>0.11</v>
      </c>
      <c r="D60" s="125">
        <v>6.5000000000000002E-2</v>
      </c>
      <c r="E60" s="6">
        <v>2.7999999999999997E-2</v>
      </c>
      <c r="F60" s="6">
        <v>0.04</v>
      </c>
      <c r="G60" s="6">
        <v>9.3000000000000013E-2</v>
      </c>
    </row>
    <row r="61" spans="1:7" x14ac:dyDescent="0.25">
      <c r="A61" t="s">
        <v>282</v>
      </c>
      <c r="B61" s="124">
        <v>400</v>
      </c>
      <c r="C61" s="126">
        <v>0.108</v>
      </c>
      <c r="D61" s="125">
        <v>6.5000000000000002E-2</v>
      </c>
      <c r="E61" s="125">
        <v>2.9000000000000001E-2</v>
      </c>
      <c r="F61" s="6">
        <v>4.1000000000000002E-2</v>
      </c>
      <c r="G61" s="6">
        <v>9.1999999999999998E-2</v>
      </c>
    </row>
  </sheetData>
  <sortState ref="A2:D87">
    <sortCondition ref="B2"/>
  </sortState>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workbookViewId="0">
      <pane ySplit="1" topLeftCell="A2" activePane="bottomLeft" state="frozen"/>
      <selection pane="bottomLeft" activeCell="C2" sqref="C2"/>
    </sheetView>
  </sheetViews>
  <sheetFormatPr defaultRowHeight="15" x14ac:dyDescent="0.25"/>
  <cols>
    <col min="1" max="1" width="15.28515625" bestFit="1" customWidth="1"/>
    <col min="2" max="2" width="11" style="139" bestFit="1" customWidth="1"/>
    <col min="3" max="3" width="9" style="132" bestFit="1" customWidth="1"/>
    <col min="4" max="4" width="8.5703125" style="132" bestFit="1" customWidth="1"/>
    <col min="5" max="5" width="11" style="132" bestFit="1" customWidth="1"/>
    <col min="6" max="7" width="9.140625" style="8"/>
  </cols>
  <sheetData>
    <row r="1" spans="1:7" x14ac:dyDescent="0.25">
      <c r="A1" t="s">
        <v>238</v>
      </c>
      <c r="B1" s="139" t="s">
        <v>239</v>
      </c>
      <c r="C1" s="132" t="s">
        <v>241</v>
      </c>
      <c r="D1" s="132" t="s">
        <v>242</v>
      </c>
      <c r="E1" s="132" t="s">
        <v>289</v>
      </c>
      <c r="F1" s="132" t="s">
        <v>714</v>
      </c>
      <c r="G1" s="132" t="s">
        <v>715</v>
      </c>
    </row>
    <row r="2" spans="1:7" x14ac:dyDescent="0.25">
      <c r="A2" t="s">
        <v>280</v>
      </c>
      <c r="B2" s="139">
        <v>0</v>
      </c>
      <c r="C2" s="194">
        <v>0.5</v>
      </c>
      <c r="D2" s="195">
        <v>0.03</v>
      </c>
      <c r="E2" s="194"/>
      <c r="F2" s="194">
        <v>0.5</v>
      </c>
    </row>
    <row r="3" spans="1:7" x14ac:dyDescent="0.25">
      <c r="A3" t="s">
        <v>280</v>
      </c>
      <c r="B3" s="192">
        <v>8</v>
      </c>
      <c r="C3" s="197">
        <v>0.4055497944355011</v>
      </c>
      <c r="D3" s="195">
        <v>0.03</v>
      </c>
      <c r="E3" s="196"/>
      <c r="F3" s="197">
        <v>0.24797238409519196</v>
      </c>
      <c r="G3" s="196"/>
    </row>
    <row r="4" spans="1:7" x14ac:dyDescent="0.25">
      <c r="A4" t="s">
        <v>280</v>
      </c>
      <c r="B4" s="192">
        <v>9</v>
      </c>
      <c r="C4" s="197">
        <v>0.38902753591537476</v>
      </c>
      <c r="D4" s="195">
        <v>0.03</v>
      </c>
      <c r="E4" s="196"/>
      <c r="F4" s="197">
        <v>0.23341476917266846</v>
      </c>
      <c r="G4" s="196"/>
    </row>
    <row r="5" spans="1:7" x14ac:dyDescent="0.25">
      <c r="A5" t="s">
        <v>280</v>
      </c>
      <c r="B5" s="192">
        <v>10</v>
      </c>
      <c r="C5" s="197">
        <v>0.36616021394729614</v>
      </c>
      <c r="D5" s="195">
        <v>0.03</v>
      </c>
      <c r="E5" s="196"/>
      <c r="F5" s="197">
        <v>0.22830504179000854</v>
      </c>
      <c r="G5" s="196"/>
    </row>
    <row r="6" spans="1:7" x14ac:dyDescent="0.25">
      <c r="A6" t="s">
        <v>280</v>
      </c>
      <c r="B6" s="192">
        <v>12</v>
      </c>
      <c r="C6" s="197">
        <v>0.32034006714820862</v>
      </c>
      <c r="D6" s="195">
        <v>0.03</v>
      </c>
      <c r="E6" s="196"/>
      <c r="F6" s="197">
        <v>0.21064887940883636</v>
      </c>
      <c r="G6" s="196"/>
    </row>
    <row r="7" spans="1:7" x14ac:dyDescent="0.25">
      <c r="A7" t="s">
        <v>280</v>
      </c>
      <c r="B7" s="192">
        <v>16</v>
      </c>
      <c r="C7" s="197">
        <v>0.25375193357467651</v>
      </c>
      <c r="D7" s="195">
        <v>0.03</v>
      </c>
      <c r="E7" s="196"/>
      <c r="F7" s="197">
        <v>0.17482498288154602</v>
      </c>
      <c r="G7" s="196"/>
    </row>
    <row r="8" spans="1:7" x14ac:dyDescent="0.25">
      <c r="A8" t="s">
        <v>280</v>
      </c>
      <c r="B8" s="192">
        <v>22</v>
      </c>
      <c r="C8" s="197">
        <v>0.21895338594913483</v>
      </c>
      <c r="D8" s="195">
        <v>0.03</v>
      </c>
      <c r="E8" s="196"/>
      <c r="F8" s="197">
        <v>0.13914678990840912</v>
      </c>
      <c r="G8" s="196"/>
    </row>
    <row r="9" spans="1:7" x14ac:dyDescent="0.25">
      <c r="A9" t="s">
        <v>280</v>
      </c>
      <c r="B9" s="192">
        <v>39</v>
      </c>
      <c r="C9" s="197">
        <v>0.15362405776977539</v>
      </c>
      <c r="D9" s="195">
        <v>0.03</v>
      </c>
      <c r="E9" s="196"/>
      <c r="F9" s="197">
        <v>0.10594238340854645</v>
      </c>
      <c r="G9" s="196"/>
    </row>
    <row r="10" spans="1:7" x14ac:dyDescent="0.25">
      <c r="A10" t="s">
        <v>280</v>
      </c>
      <c r="B10" s="192">
        <v>62</v>
      </c>
      <c r="C10" s="197">
        <v>0.12467083334922791</v>
      </c>
      <c r="D10" s="195">
        <v>0.03</v>
      </c>
      <c r="E10" s="196"/>
      <c r="F10" s="197">
        <v>8.781365305185318E-2</v>
      </c>
      <c r="G10" s="196"/>
    </row>
    <row r="11" spans="1:7" x14ac:dyDescent="0.25">
      <c r="A11" t="s">
        <v>280</v>
      </c>
      <c r="B11" s="192">
        <v>71</v>
      </c>
      <c r="C11" s="197">
        <v>0.11576048284769058</v>
      </c>
      <c r="D11" s="195">
        <v>0.03</v>
      </c>
      <c r="E11" s="196"/>
      <c r="F11" s="197">
        <v>8.2419216632843018E-2</v>
      </c>
      <c r="G11" s="196"/>
    </row>
    <row r="12" spans="1:7" x14ac:dyDescent="0.25">
      <c r="A12" t="s">
        <v>280</v>
      </c>
      <c r="B12" s="192">
        <v>85</v>
      </c>
      <c r="C12" s="197">
        <v>0.10661349445581436</v>
      </c>
      <c r="D12" s="195">
        <v>0.03</v>
      </c>
      <c r="E12" s="196"/>
      <c r="F12" s="197">
        <v>7.7734731137752533E-2</v>
      </c>
      <c r="G12" s="196"/>
    </row>
    <row r="13" spans="1:7" x14ac:dyDescent="0.25">
      <c r="A13" t="s">
        <v>280</v>
      </c>
      <c r="B13" s="192">
        <v>89</v>
      </c>
      <c r="C13" s="197">
        <v>0.10481814295053482</v>
      </c>
      <c r="D13" s="195">
        <v>0.03</v>
      </c>
      <c r="E13" s="196"/>
      <c r="F13" s="197">
        <v>7.5832217931747437E-2</v>
      </c>
      <c r="G13" s="196"/>
    </row>
    <row r="14" spans="1:7" x14ac:dyDescent="0.25">
      <c r="A14" t="s">
        <v>280</v>
      </c>
      <c r="B14" s="192">
        <v>94</v>
      </c>
      <c r="C14" s="197">
        <v>0.10270086675882339</v>
      </c>
      <c r="D14" s="195">
        <v>0.03</v>
      </c>
      <c r="E14" s="196"/>
      <c r="F14" s="197">
        <v>7.3668338358402252E-2</v>
      </c>
      <c r="G14" s="196"/>
    </row>
    <row r="15" spans="1:7" x14ac:dyDescent="0.25">
      <c r="A15" t="s">
        <v>280</v>
      </c>
      <c r="B15" s="192">
        <v>106</v>
      </c>
      <c r="C15" s="197">
        <v>9.6975266933441162E-2</v>
      </c>
      <c r="D15" s="195">
        <v>0.03</v>
      </c>
      <c r="E15" s="196"/>
      <c r="F15" s="197">
        <v>7.1275994181632996E-2</v>
      </c>
      <c r="G15" s="196"/>
    </row>
    <row r="16" spans="1:7" x14ac:dyDescent="0.25">
      <c r="A16" t="s">
        <v>280</v>
      </c>
      <c r="B16" s="192">
        <v>107</v>
      </c>
      <c r="C16" s="197">
        <v>9.6770748496055603E-2</v>
      </c>
      <c r="D16" s="195">
        <v>0.03</v>
      </c>
      <c r="E16" s="196"/>
      <c r="F16" s="197">
        <v>7.1030072867870331E-2</v>
      </c>
      <c r="G16" s="196"/>
    </row>
    <row r="17" spans="1:7" x14ac:dyDescent="0.25">
      <c r="A17" t="s">
        <v>280</v>
      </c>
      <c r="B17" s="192">
        <v>109</v>
      </c>
      <c r="C17" s="197">
        <v>9.6226528286933899E-2</v>
      </c>
      <c r="D17" s="195">
        <v>0.03</v>
      </c>
      <c r="E17" s="196"/>
      <c r="F17" s="197">
        <v>7.0500999689102173E-2</v>
      </c>
      <c r="G17" s="196"/>
    </row>
    <row r="18" spans="1:7" x14ac:dyDescent="0.25">
      <c r="A18" t="s">
        <v>280</v>
      </c>
      <c r="B18" s="192">
        <v>116</v>
      </c>
      <c r="C18" s="197">
        <v>9.3393020331859589E-2</v>
      </c>
      <c r="D18" s="195">
        <v>0.03</v>
      </c>
      <c r="E18" s="196"/>
      <c r="F18" s="197">
        <v>6.8391270935535431E-2</v>
      </c>
      <c r="G18" s="196"/>
    </row>
    <row r="19" spans="1:7" x14ac:dyDescent="0.25">
      <c r="A19" t="s">
        <v>280</v>
      </c>
      <c r="B19" s="192">
        <v>119</v>
      </c>
      <c r="C19" s="197">
        <v>9.1930054128170013E-2</v>
      </c>
      <c r="D19" s="195">
        <v>0.03</v>
      </c>
      <c r="E19" s="196"/>
      <c r="F19" s="197">
        <v>6.7678801715373993E-2</v>
      </c>
      <c r="G19" s="196"/>
    </row>
    <row r="20" spans="1:7" x14ac:dyDescent="0.25">
      <c r="A20" t="s">
        <v>280</v>
      </c>
      <c r="B20" s="192">
        <v>128</v>
      </c>
      <c r="C20" s="197">
        <v>8.9979924261569977E-2</v>
      </c>
      <c r="D20" s="195">
        <v>0.03</v>
      </c>
      <c r="E20" s="196"/>
      <c r="F20" s="197">
        <v>6.6746562719345093E-2</v>
      </c>
      <c r="G20" s="197">
        <v>3.6142580211162567E-4</v>
      </c>
    </row>
    <row r="21" spans="1:7" x14ac:dyDescent="0.25">
      <c r="A21" t="s">
        <v>280</v>
      </c>
      <c r="B21" s="192">
        <v>146</v>
      </c>
      <c r="C21" s="197">
        <v>8.5283972322940826E-2</v>
      </c>
      <c r="D21" s="195">
        <v>0.03</v>
      </c>
      <c r="E21" s="196"/>
      <c r="F21" s="197">
        <v>6.3768200576305389E-2</v>
      </c>
      <c r="G21" s="197">
        <v>1.5819211257621646E-3</v>
      </c>
    </row>
    <row r="22" spans="1:7" x14ac:dyDescent="0.25">
      <c r="A22" t="s">
        <v>280</v>
      </c>
      <c r="B22" s="192">
        <v>148</v>
      </c>
      <c r="C22" s="197">
        <v>8.4885366261005402E-2</v>
      </c>
      <c r="D22" s="195">
        <v>0.03</v>
      </c>
      <c r="E22" s="196"/>
      <c r="F22" s="197">
        <v>6.358453631401062E-2</v>
      </c>
      <c r="G22" s="197">
        <v>1.7277445876970887E-3</v>
      </c>
    </row>
    <row r="23" spans="1:7" x14ac:dyDescent="0.25">
      <c r="A23" t="s">
        <v>280</v>
      </c>
      <c r="B23" s="192">
        <v>151</v>
      </c>
      <c r="C23" s="197">
        <v>8.4156885743141174E-2</v>
      </c>
      <c r="D23" s="195">
        <v>0.03</v>
      </c>
      <c r="E23" s="196"/>
      <c r="F23" s="197">
        <v>6.3229583203792572E-2</v>
      </c>
      <c r="G23" s="197">
        <v>1.9523710943758488E-3</v>
      </c>
    </row>
    <row r="24" spans="1:7" x14ac:dyDescent="0.25">
      <c r="A24" t="s">
        <v>280</v>
      </c>
      <c r="B24" s="192">
        <v>161</v>
      </c>
      <c r="C24" s="197">
        <v>8.1653319299221039E-2</v>
      </c>
      <c r="D24" s="195">
        <v>0.03</v>
      </c>
      <c r="E24" s="196"/>
      <c r="F24" s="197">
        <v>6.1592977494001389E-2</v>
      </c>
      <c r="G24" s="197">
        <v>2.7644233778119087E-3</v>
      </c>
    </row>
    <row r="25" spans="1:7" x14ac:dyDescent="0.25">
      <c r="A25" t="s">
        <v>280</v>
      </c>
      <c r="B25" s="192">
        <v>164</v>
      </c>
      <c r="C25" s="197">
        <v>8.1413760781288147E-2</v>
      </c>
      <c r="D25" s="195">
        <v>0.03</v>
      </c>
      <c r="E25" s="196"/>
      <c r="F25" s="197">
        <v>6.1069797724485397E-2</v>
      </c>
      <c r="G25" s="197">
        <v>3.0311429873108864E-3</v>
      </c>
    </row>
    <row r="26" spans="1:7" x14ac:dyDescent="0.25">
      <c r="A26" t="s">
        <v>280</v>
      </c>
      <c r="B26" s="192">
        <v>169</v>
      </c>
      <c r="C26" s="197">
        <v>8.0623418092727661E-2</v>
      </c>
      <c r="D26" s="195">
        <v>0.03</v>
      </c>
      <c r="E26" s="196"/>
      <c r="F26" s="197">
        <v>6.0915030539035797E-2</v>
      </c>
      <c r="G26" s="197">
        <v>3.5044692922383547E-3</v>
      </c>
    </row>
    <row r="27" spans="1:7" x14ac:dyDescent="0.25">
      <c r="A27" t="s">
        <v>280</v>
      </c>
      <c r="B27" s="192">
        <v>173</v>
      </c>
      <c r="C27" s="197">
        <v>7.9751327633857727E-2</v>
      </c>
      <c r="D27" s="195">
        <v>0.03</v>
      </c>
      <c r="E27" s="196"/>
      <c r="F27" s="197">
        <v>6.0604244470596313E-2</v>
      </c>
      <c r="G27" s="197">
        <v>3.912381362169981E-3</v>
      </c>
    </row>
    <row r="28" spans="1:7" x14ac:dyDescent="0.25">
      <c r="A28" t="s">
        <v>280</v>
      </c>
      <c r="B28" s="192">
        <v>183</v>
      </c>
      <c r="C28" s="197">
        <v>7.8048817813396454E-2</v>
      </c>
      <c r="D28" s="195">
        <v>0.03</v>
      </c>
      <c r="E28" s="196"/>
      <c r="F28" s="197">
        <v>5.9372443705797195E-2</v>
      </c>
      <c r="G28" s="197">
        <v>5.0686309114098549E-3</v>
      </c>
    </row>
    <row r="29" spans="1:7" x14ac:dyDescent="0.25">
      <c r="A29" t="s">
        <v>280</v>
      </c>
      <c r="B29" s="192">
        <v>195</v>
      </c>
      <c r="C29" s="197">
        <v>7.6195135712623596E-2</v>
      </c>
      <c r="D29" s="195">
        <v>0.03</v>
      </c>
      <c r="E29" s="196"/>
      <c r="F29" s="197">
        <v>5.8460205793380737E-2</v>
      </c>
      <c r="G29" s="197">
        <v>5.6857871823012829E-3</v>
      </c>
    </row>
    <row r="30" spans="1:7" x14ac:dyDescent="0.25">
      <c r="A30" t="s">
        <v>280</v>
      </c>
      <c r="B30" s="192">
        <v>199</v>
      </c>
      <c r="C30" s="197">
        <v>7.5313225388526917E-2</v>
      </c>
      <c r="D30" s="195">
        <v>0.03</v>
      </c>
      <c r="E30" s="196"/>
      <c r="F30" s="197">
        <v>5.8153640478849411E-2</v>
      </c>
      <c r="G30" s="197">
        <v>5.8266953565180302E-3</v>
      </c>
    </row>
    <row r="31" spans="1:7" x14ac:dyDescent="0.25">
      <c r="A31" t="s">
        <v>280</v>
      </c>
      <c r="B31" s="192">
        <v>206</v>
      </c>
      <c r="C31" s="197">
        <v>7.4891932308673859E-2</v>
      </c>
      <c r="D31" s="195">
        <v>0.03</v>
      </c>
      <c r="E31" s="196"/>
      <c r="F31" s="197">
        <v>5.7430248707532883E-2</v>
      </c>
      <c r="G31" s="197">
        <v>6.1026751063764095E-3</v>
      </c>
    </row>
    <row r="32" spans="1:7" x14ac:dyDescent="0.25">
      <c r="A32" t="s">
        <v>280</v>
      </c>
      <c r="B32" s="192">
        <v>214</v>
      </c>
      <c r="C32" s="197">
        <v>7.3799990117549896E-2</v>
      </c>
      <c r="D32" s="195">
        <v>0.03</v>
      </c>
      <c r="E32" s="196"/>
      <c r="F32" s="197">
        <v>5.6741643697023392E-2</v>
      </c>
      <c r="G32" s="197">
        <v>6.4719598740339279E-3</v>
      </c>
    </row>
    <row r="33" spans="1:7" x14ac:dyDescent="0.25">
      <c r="A33" t="s">
        <v>280</v>
      </c>
      <c r="B33" s="192">
        <v>215</v>
      </c>
      <c r="C33" s="197">
        <v>7.3628783226013184E-2</v>
      </c>
      <c r="D33" s="195">
        <v>0.03</v>
      </c>
      <c r="E33" s="196"/>
      <c r="F33" s="197">
        <v>5.6719444692134857E-2</v>
      </c>
      <c r="G33" s="197">
        <v>6.5227127633988857E-3</v>
      </c>
    </row>
    <row r="34" spans="1:7" x14ac:dyDescent="0.25">
      <c r="A34" t="s">
        <v>280</v>
      </c>
      <c r="B34" s="192">
        <v>216</v>
      </c>
      <c r="C34" s="197">
        <v>7.3451869189739227E-2</v>
      </c>
      <c r="D34" s="195">
        <v>0.03</v>
      </c>
      <c r="E34" s="196"/>
      <c r="F34" s="197">
        <v>5.6690014898777008E-2</v>
      </c>
      <c r="G34" s="197">
        <v>6.5745683386921883E-3</v>
      </c>
    </row>
    <row r="35" spans="1:7" x14ac:dyDescent="0.25">
      <c r="A35" t="s">
        <v>280</v>
      </c>
      <c r="B35" s="192">
        <v>226</v>
      </c>
      <c r="C35" s="197">
        <v>7.2445176541805267E-2</v>
      </c>
      <c r="D35" s="195">
        <v>0.03</v>
      </c>
      <c r="E35" s="196"/>
      <c r="F35" s="197">
        <v>5.6081857532262802E-2</v>
      </c>
      <c r="G35" s="197">
        <v>7.1597234345972538E-3</v>
      </c>
    </row>
    <row r="36" spans="1:7" x14ac:dyDescent="0.25">
      <c r="A36" t="s">
        <v>280</v>
      </c>
      <c r="B36" s="192">
        <v>233</v>
      </c>
      <c r="C36" s="197">
        <v>7.171168178319931E-2</v>
      </c>
      <c r="D36" s="195">
        <v>0.03</v>
      </c>
      <c r="E36" s="197">
        <v>7.0108879299368709E-5</v>
      </c>
      <c r="F36" s="197">
        <v>5.5421832948923111E-2</v>
      </c>
      <c r="G36" s="197">
        <v>7.6519735157489777E-3</v>
      </c>
    </row>
    <row r="37" spans="1:7" x14ac:dyDescent="0.25">
      <c r="A37" t="s">
        <v>280</v>
      </c>
      <c r="B37" s="192">
        <v>234</v>
      </c>
      <c r="C37" s="197">
        <v>7.1576595306396484E-2</v>
      </c>
      <c r="D37" s="195">
        <v>0.03</v>
      </c>
      <c r="E37" s="197">
        <v>8.9899345766752958E-5</v>
      </c>
      <c r="F37" s="197">
        <v>5.5317215621471405E-2</v>
      </c>
      <c r="G37" s="197">
        <v>7.7286339364945889E-3</v>
      </c>
    </row>
    <row r="38" spans="1:7" x14ac:dyDescent="0.25">
      <c r="A38" t="s">
        <v>280</v>
      </c>
      <c r="B38" s="192">
        <v>240</v>
      </c>
      <c r="C38" s="197">
        <v>7.0656329393386841E-2</v>
      </c>
      <c r="D38" s="195">
        <v>0.03</v>
      </c>
      <c r="E38" s="197">
        <v>2.1485015167854726E-4</v>
      </c>
      <c r="F38" s="197">
        <v>5.5069897323846817E-2</v>
      </c>
      <c r="G38" s="197">
        <v>8.2254856824874878E-3</v>
      </c>
    </row>
    <row r="39" spans="1:7" x14ac:dyDescent="0.25">
      <c r="A39" t="s">
        <v>280</v>
      </c>
      <c r="B39" s="192">
        <v>242</v>
      </c>
      <c r="C39" s="197">
        <v>7.0417620241641998E-2</v>
      </c>
      <c r="D39" s="195">
        <v>0.03</v>
      </c>
      <c r="E39" s="197">
        <v>2.59106804151088E-4</v>
      </c>
      <c r="F39" s="197">
        <v>5.5010076612234116E-2</v>
      </c>
      <c r="G39" s="197">
        <v>8.322371169924736E-3</v>
      </c>
    </row>
    <row r="40" spans="1:7" x14ac:dyDescent="0.25">
      <c r="A40" t="s">
        <v>280</v>
      </c>
      <c r="B40" s="192">
        <v>244</v>
      </c>
      <c r="C40" s="197">
        <v>7.0387229323387146E-2</v>
      </c>
      <c r="D40" s="195">
        <v>0.03</v>
      </c>
      <c r="E40" s="197">
        <v>3.048086364287883E-4</v>
      </c>
      <c r="F40" s="197">
        <v>5.4929617792367935E-2</v>
      </c>
      <c r="G40" s="197">
        <v>8.3581199869513512E-3</v>
      </c>
    </row>
    <row r="41" spans="1:7" x14ac:dyDescent="0.25">
      <c r="A41" t="s">
        <v>280</v>
      </c>
      <c r="B41" s="192">
        <v>262</v>
      </c>
      <c r="C41" s="197">
        <v>6.8593353033065796E-2</v>
      </c>
      <c r="D41" s="195">
        <v>0.03</v>
      </c>
      <c r="E41" s="197">
        <v>7.9751265002414584E-4</v>
      </c>
      <c r="F41" s="197">
        <v>5.3706072270870209E-2</v>
      </c>
      <c r="G41" s="197">
        <v>8.7990621104836464E-3</v>
      </c>
    </row>
    <row r="42" spans="1:7" x14ac:dyDescent="0.25">
      <c r="A42" t="s">
        <v>280</v>
      </c>
      <c r="B42" s="192">
        <v>265</v>
      </c>
      <c r="C42" s="197">
        <v>6.8437062203884125E-2</v>
      </c>
      <c r="D42" s="195">
        <v>0.03</v>
      </c>
      <c r="E42" s="197">
        <v>8.9731754269450903E-4</v>
      </c>
      <c r="F42" s="197">
        <v>5.3665250539779663E-2</v>
      </c>
      <c r="G42" s="197">
        <v>8.8970055803656578E-3</v>
      </c>
    </row>
    <row r="43" spans="1:7" x14ac:dyDescent="0.25">
      <c r="A43" t="s">
        <v>280</v>
      </c>
      <c r="B43" s="192">
        <v>267</v>
      </c>
      <c r="C43" s="197">
        <v>6.8381570279598236E-2</v>
      </c>
      <c r="D43" s="195">
        <v>0.03</v>
      </c>
      <c r="E43" s="197">
        <v>9.6729188226163387E-4</v>
      </c>
      <c r="F43" s="197">
        <v>5.361354723572731E-2</v>
      </c>
      <c r="G43" s="197">
        <v>8.9668147265911102E-3</v>
      </c>
    </row>
    <row r="44" spans="1:7" x14ac:dyDescent="0.25">
      <c r="A44" t="s">
        <v>280</v>
      </c>
      <c r="B44" s="192">
        <v>268</v>
      </c>
      <c r="C44" s="197">
        <v>6.8339847028255463E-2</v>
      </c>
      <c r="D44" s="195">
        <v>0.03</v>
      </c>
      <c r="E44" s="197">
        <v>1.0033670114353299E-3</v>
      </c>
      <c r="F44" s="197">
        <v>5.3581096231937408E-2</v>
      </c>
      <c r="G44" s="197">
        <v>9.003128856420517E-3</v>
      </c>
    </row>
    <row r="45" spans="1:7" x14ac:dyDescent="0.25">
      <c r="A45" t="s">
        <v>280</v>
      </c>
      <c r="B45" s="192">
        <v>276</v>
      </c>
      <c r="C45" s="197">
        <v>6.7740671336650848E-2</v>
      </c>
      <c r="D45" s="195">
        <v>0.03</v>
      </c>
      <c r="E45" s="197">
        <v>1.3207815354689956E-3</v>
      </c>
      <c r="F45" s="197">
        <v>5.3190756589174271E-2</v>
      </c>
      <c r="G45" s="197">
        <v>9.3300491571426392E-3</v>
      </c>
    </row>
    <row r="46" spans="1:7" x14ac:dyDescent="0.25">
      <c r="A46" t="s">
        <v>280</v>
      </c>
      <c r="B46" s="192">
        <v>280</v>
      </c>
      <c r="C46" s="197">
        <v>6.7308120429515839E-2</v>
      </c>
      <c r="D46" s="195">
        <v>0.03</v>
      </c>
      <c r="E46" s="197">
        <v>1.5010335482656956E-3</v>
      </c>
      <c r="F46" s="197">
        <v>5.2926637232303619E-2</v>
      </c>
      <c r="G46" s="197">
        <v>9.5199709758162498E-3</v>
      </c>
    </row>
    <row r="47" spans="1:7" x14ac:dyDescent="0.25">
      <c r="A47" t="s">
        <v>280</v>
      </c>
      <c r="B47" s="192">
        <v>288</v>
      </c>
      <c r="C47" s="197">
        <v>6.6671527922153473E-2</v>
      </c>
      <c r="D47" s="195">
        <v>0.03</v>
      </c>
      <c r="E47" s="197">
        <v>1.912803971208632E-3</v>
      </c>
      <c r="F47" s="197">
        <v>5.2478816360235214E-2</v>
      </c>
      <c r="G47" s="197">
        <v>9.9602192640304565E-3</v>
      </c>
    </row>
    <row r="48" spans="1:7" x14ac:dyDescent="0.25">
      <c r="A48" t="s">
        <v>280</v>
      </c>
      <c r="B48" s="192">
        <v>290</v>
      </c>
      <c r="C48" s="197">
        <v>6.6605456173419952E-2</v>
      </c>
      <c r="D48" s="195">
        <v>0.03</v>
      </c>
      <c r="E48" s="197">
        <v>2.0277905277907848E-3</v>
      </c>
      <c r="F48" s="197">
        <v>5.2452437579631805E-2</v>
      </c>
      <c r="G48" s="197">
        <v>1.0084082372486591E-2</v>
      </c>
    </row>
    <row r="49" spans="1:7" x14ac:dyDescent="0.25">
      <c r="A49" t="s">
        <v>280</v>
      </c>
      <c r="B49" s="192">
        <v>325</v>
      </c>
      <c r="C49" s="197">
        <v>6.4184732735157013E-2</v>
      </c>
      <c r="D49" s="195">
        <v>0.03</v>
      </c>
      <c r="E49" s="197">
        <v>3.5079487133771181E-3</v>
      </c>
      <c r="F49" s="197">
        <v>5.1101140677928925E-2</v>
      </c>
      <c r="G49" s="197">
        <v>1.0955469682812691E-2</v>
      </c>
    </row>
    <row r="50" spans="1:7" x14ac:dyDescent="0.25">
      <c r="A50" t="s">
        <v>280</v>
      </c>
      <c r="B50" s="192">
        <v>333</v>
      </c>
      <c r="C50" s="197">
        <v>6.3708364963531494E-2</v>
      </c>
      <c r="D50" s="195">
        <v>0.03</v>
      </c>
      <c r="E50" s="197">
        <v>3.6717841867357492E-3</v>
      </c>
      <c r="F50" s="197">
        <v>5.0698511302471161E-2</v>
      </c>
      <c r="G50" s="197">
        <v>1.1262440122663975E-2</v>
      </c>
    </row>
    <row r="51" spans="1:7" x14ac:dyDescent="0.25">
      <c r="A51" t="s">
        <v>280</v>
      </c>
      <c r="B51" s="192">
        <v>352</v>
      </c>
      <c r="C51" s="197">
        <v>6.2486473470926285E-2</v>
      </c>
      <c r="D51" s="195">
        <v>0.03</v>
      </c>
      <c r="E51" s="197">
        <v>4.2404411360621452E-3</v>
      </c>
      <c r="F51" s="197">
        <v>5.0141885876655579E-2</v>
      </c>
      <c r="G51" s="197">
        <v>1.1801065877079964E-2</v>
      </c>
    </row>
    <row r="52" spans="1:7" x14ac:dyDescent="0.25">
      <c r="A52" t="s">
        <v>280</v>
      </c>
      <c r="B52" s="192">
        <v>378</v>
      </c>
      <c r="C52" s="197">
        <v>6.1297908425331116E-2</v>
      </c>
      <c r="D52" s="195">
        <v>0.03</v>
      </c>
      <c r="E52" s="197">
        <v>5.3824782371520996E-3</v>
      </c>
      <c r="F52" s="197">
        <v>4.9331121146678925E-2</v>
      </c>
      <c r="G52" s="197">
        <v>1.2373729608952999E-2</v>
      </c>
    </row>
    <row r="53" spans="1:7" x14ac:dyDescent="0.25">
      <c r="A53" t="s">
        <v>280</v>
      </c>
      <c r="B53" s="192">
        <v>382</v>
      </c>
      <c r="C53" s="197">
        <v>6.1205558478832245E-2</v>
      </c>
      <c r="D53" s="195">
        <v>0.03</v>
      </c>
      <c r="E53" s="197">
        <v>5.419914610683918E-3</v>
      </c>
      <c r="F53" s="197">
        <v>4.9176778644323349E-2</v>
      </c>
      <c r="G53" s="197">
        <v>1.2509264051914215E-2</v>
      </c>
    </row>
    <row r="54" spans="1:7" x14ac:dyDescent="0.25">
      <c r="A54" t="s">
        <v>280</v>
      </c>
      <c r="B54" s="192">
        <v>384</v>
      </c>
      <c r="C54" s="197">
        <v>6.1133343726396561E-2</v>
      </c>
      <c r="D54" s="195">
        <v>0.03</v>
      </c>
      <c r="E54" s="197">
        <v>5.441238172352314E-3</v>
      </c>
      <c r="F54" s="197">
        <v>4.9090784043073654E-2</v>
      </c>
      <c r="G54" s="197">
        <v>1.2582701630890369E-2</v>
      </c>
    </row>
    <row r="55" spans="1:7" x14ac:dyDescent="0.25">
      <c r="A55" t="s">
        <v>280</v>
      </c>
      <c r="B55" s="192">
        <v>389</v>
      </c>
      <c r="C55" s="197">
        <v>6.0889948159456253E-2</v>
      </c>
      <c r="D55" s="195">
        <v>0.03</v>
      </c>
      <c r="E55" s="197">
        <v>5.502727348357439E-3</v>
      </c>
      <c r="F55" s="197">
        <v>4.8861283808946609E-2</v>
      </c>
      <c r="G55" s="197">
        <v>1.278393529355526E-2</v>
      </c>
    </row>
    <row r="56" spans="1:7" x14ac:dyDescent="0.25">
      <c r="A56" t="s">
        <v>280</v>
      </c>
      <c r="B56" s="192">
        <v>392</v>
      </c>
      <c r="C56" s="197">
        <v>6.0707684606313705E-2</v>
      </c>
      <c r="D56" s="195">
        <v>0.03</v>
      </c>
      <c r="E56" s="197">
        <v>5.5456226691603661E-3</v>
      </c>
      <c r="F56" s="197">
        <v>4.8851016908884048E-2</v>
      </c>
      <c r="G56" s="197">
        <v>1.2837444432079792E-2</v>
      </c>
    </row>
    <row r="57" spans="1:7" x14ac:dyDescent="0.25">
      <c r="A57" t="s">
        <v>280</v>
      </c>
      <c r="B57" s="192">
        <v>393</v>
      </c>
      <c r="C57" s="197">
        <v>6.0641791671514511E-2</v>
      </c>
      <c r="D57" s="195">
        <v>0.03</v>
      </c>
      <c r="E57" s="197">
        <v>5.5609839037060738E-3</v>
      </c>
      <c r="F57" s="197">
        <v>4.8842407763004303E-2</v>
      </c>
      <c r="G57" s="197">
        <v>1.2844845652580261E-2</v>
      </c>
    </row>
    <row r="58" spans="1:7" x14ac:dyDescent="0.25">
      <c r="A58" t="s">
        <v>280</v>
      </c>
      <c r="B58" s="192">
        <v>395</v>
      </c>
      <c r="C58" s="197">
        <v>6.0503095388412476E-2</v>
      </c>
      <c r="D58" s="195">
        <v>0.03</v>
      </c>
      <c r="E58" s="197">
        <v>5.5933673866093159E-3</v>
      </c>
      <c r="F58" s="197">
        <v>4.8817999660968781E-2</v>
      </c>
      <c r="G58" s="197">
        <v>1.2861043214797974E-2</v>
      </c>
    </row>
    <row r="59" spans="1:7" x14ac:dyDescent="0.25">
      <c r="A59" t="s">
        <v>280</v>
      </c>
      <c r="B59" s="192">
        <v>420</v>
      </c>
      <c r="C59" s="197">
        <v>5.9402979910373688E-2</v>
      </c>
      <c r="D59" s="195">
        <v>0.03</v>
      </c>
      <c r="E59" s="197">
        <v>6.2271966598927975E-3</v>
      </c>
      <c r="F59" s="197">
        <v>4.8150278627872467E-2</v>
      </c>
      <c r="G59" s="197">
        <v>1.3246978633105755E-2</v>
      </c>
    </row>
    <row r="60" spans="1:7" x14ac:dyDescent="0.25">
      <c r="A60" t="s">
        <v>280</v>
      </c>
      <c r="B60" s="192">
        <v>430</v>
      </c>
      <c r="C60" s="197">
        <v>5.9156633913516998E-2</v>
      </c>
      <c r="D60" s="195">
        <v>0.03</v>
      </c>
      <c r="E60" s="197">
        <v>6.6356728784739971E-3</v>
      </c>
      <c r="F60" s="197">
        <v>4.7954849898815155E-2</v>
      </c>
      <c r="G60" s="197">
        <v>1.3517986983060837E-2</v>
      </c>
    </row>
    <row r="61" spans="1:7" x14ac:dyDescent="0.25">
      <c r="A61" t="s">
        <v>280</v>
      </c>
      <c r="B61" s="192">
        <v>460</v>
      </c>
      <c r="C61" s="197">
        <v>5.8039348572492599E-2</v>
      </c>
      <c r="D61" s="195">
        <v>0.03</v>
      </c>
      <c r="E61" s="197">
        <v>7.1506495587527752E-3</v>
      </c>
      <c r="F61" s="197">
        <v>4.7255858778953552E-2</v>
      </c>
      <c r="G61" s="197">
        <v>1.3983198441565037E-2</v>
      </c>
    </row>
    <row r="62" spans="1:7" x14ac:dyDescent="0.25">
      <c r="A62" t="s">
        <v>280</v>
      </c>
      <c r="B62" s="192">
        <v>478</v>
      </c>
      <c r="C62" s="197">
        <v>5.7437911629676819E-2</v>
      </c>
      <c r="D62" s="195">
        <v>0.03</v>
      </c>
      <c r="E62" s="197">
        <v>7.5568761676549911E-3</v>
      </c>
      <c r="F62" s="197">
        <v>4.6898402273654938E-2</v>
      </c>
      <c r="G62" s="197">
        <v>1.4380457811057568E-2</v>
      </c>
    </row>
    <row r="63" spans="1:7" x14ac:dyDescent="0.25">
      <c r="A63" t="s">
        <v>280</v>
      </c>
      <c r="B63" s="192">
        <v>483</v>
      </c>
      <c r="C63" s="197">
        <v>5.7271912693977356E-2</v>
      </c>
      <c r="D63" s="195">
        <v>0.03</v>
      </c>
      <c r="E63" s="197">
        <v>7.7143637463450432E-3</v>
      </c>
      <c r="F63" s="197">
        <v>4.6801801770925522E-2</v>
      </c>
      <c r="G63" s="197">
        <v>1.45145608112216E-2</v>
      </c>
    </row>
    <row r="64" spans="1:7" x14ac:dyDescent="0.25">
      <c r="A64" t="s">
        <v>280</v>
      </c>
      <c r="B64" s="192">
        <v>487</v>
      </c>
      <c r="C64" s="197">
        <v>5.7100612670183182E-2</v>
      </c>
      <c r="D64" s="195">
        <v>0.03</v>
      </c>
      <c r="E64" s="197">
        <v>7.8570926561951637E-3</v>
      </c>
      <c r="F64" s="197">
        <v>4.6702474355697632E-2</v>
      </c>
      <c r="G64" s="197">
        <v>1.4534683898091316E-2</v>
      </c>
    </row>
    <row r="65" spans="1:7" x14ac:dyDescent="0.25">
      <c r="A65" t="s">
        <v>280</v>
      </c>
      <c r="B65" s="193">
        <v>492</v>
      </c>
      <c r="C65" s="198">
        <v>5.6847549974918365E-2</v>
      </c>
      <c r="D65" s="195">
        <v>0.03</v>
      </c>
      <c r="E65" s="198">
        <v>8.0585610121488571E-3</v>
      </c>
      <c r="F65" s="198">
        <v>4.6555090695619583E-2</v>
      </c>
      <c r="G65" s="198">
        <v>1.4568803831934929E-2</v>
      </c>
    </row>
    <row r="66" spans="1:7" x14ac:dyDescent="0.25">
      <c r="A66" t="s">
        <v>280</v>
      </c>
      <c r="B66" s="192">
        <v>525</v>
      </c>
      <c r="C66" s="197">
        <v>5.5994678288698196E-2</v>
      </c>
      <c r="D66" s="195">
        <v>0.03</v>
      </c>
      <c r="E66" s="197">
        <v>8.4498142823576927E-3</v>
      </c>
      <c r="F66" s="197">
        <v>4.5961882919073105E-2</v>
      </c>
      <c r="G66" s="197">
        <v>1.5105449594557285E-2</v>
      </c>
    </row>
    <row r="67" spans="1:7" x14ac:dyDescent="0.25">
      <c r="A67" t="s">
        <v>280</v>
      </c>
      <c r="B67" s="192">
        <v>576</v>
      </c>
      <c r="C67" s="197">
        <v>5.4666120558977127E-2</v>
      </c>
      <c r="D67" s="195">
        <v>0.03</v>
      </c>
      <c r="E67" s="197">
        <v>9.3386406078934669E-3</v>
      </c>
      <c r="F67" s="197">
        <v>4.5114766806364059E-2</v>
      </c>
      <c r="G67" s="197">
        <v>1.5756068751215935E-2</v>
      </c>
    </row>
    <row r="68" spans="1:7" x14ac:dyDescent="0.25">
      <c r="A68" s="8" t="s">
        <v>280</v>
      </c>
      <c r="B68" s="192">
        <v>578</v>
      </c>
      <c r="C68" s="199">
        <v>5.461917445063591E-2</v>
      </c>
      <c r="D68" s="195">
        <v>0.03</v>
      </c>
      <c r="E68" s="197">
        <v>9.3689551576972008E-3</v>
      </c>
      <c r="F68" s="197">
        <v>4.510132223367691E-2</v>
      </c>
      <c r="G68" s="197">
        <v>1.5765195712447166E-2</v>
      </c>
    </row>
    <row r="69" spans="1:7" x14ac:dyDescent="0.25">
      <c r="A69" s="8" t="s">
        <v>280</v>
      </c>
      <c r="B69" s="139">
        <v>600</v>
      </c>
      <c r="C69" s="199">
        <v>5.4097499698400497E-2</v>
      </c>
      <c r="D69" s="195">
        <v>0.03</v>
      </c>
      <c r="E69" s="197">
        <v>9.8698539659380913E-3</v>
      </c>
      <c r="F69" s="197">
        <v>4.480646550655365E-2</v>
      </c>
      <c r="G69" s="197">
        <v>1.5966173261404037E-2</v>
      </c>
    </row>
  </sheetData>
  <sortState ref="A2:D83">
    <sortCondition ref="B2"/>
  </sortState>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workbookViewId="0">
      <pane ySplit="1" topLeftCell="A2" activePane="bottomLeft" state="frozen"/>
      <selection pane="bottomLeft" activeCell="C3" sqref="C3:C72"/>
    </sheetView>
  </sheetViews>
  <sheetFormatPr defaultRowHeight="15" x14ac:dyDescent="0.25"/>
  <cols>
    <col min="1" max="1" width="15.28515625" bestFit="1" customWidth="1"/>
    <col min="2" max="2" width="11" bestFit="1" customWidth="1"/>
    <col min="3" max="3" width="8.140625" bestFit="1" customWidth="1"/>
    <col min="4" max="4" width="7.140625" bestFit="1" customWidth="1"/>
    <col min="5" max="5" width="8.5703125" bestFit="1" customWidth="1"/>
  </cols>
  <sheetData>
    <row r="1" spans="1:7" x14ac:dyDescent="0.25">
      <c r="A1" t="s">
        <v>238</v>
      </c>
      <c r="B1" t="s">
        <v>239</v>
      </c>
      <c r="C1" t="s">
        <v>241</v>
      </c>
      <c r="D1" t="s">
        <v>289</v>
      </c>
      <c r="E1" t="s">
        <v>242</v>
      </c>
      <c r="F1" s="22" t="s">
        <v>714</v>
      </c>
      <c r="G1" s="22" t="s">
        <v>715</v>
      </c>
    </row>
    <row r="2" spans="1:7" x14ac:dyDescent="0.25">
      <c r="A2" t="s">
        <v>281</v>
      </c>
      <c r="B2">
        <v>0</v>
      </c>
      <c r="C2" s="26">
        <v>0.5</v>
      </c>
      <c r="D2" s="26"/>
      <c r="E2" s="6">
        <v>1.9E-2</v>
      </c>
      <c r="F2" s="26">
        <v>0.5</v>
      </c>
    </row>
    <row r="3" spans="1:7" x14ac:dyDescent="0.25">
      <c r="A3" t="s">
        <v>281</v>
      </c>
      <c r="B3" s="190">
        <v>7</v>
      </c>
      <c r="C3" s="197">
        <v>0.4122559130191803</v>
      </c>
      <c r="D3" s="6"/>
      <c r="E3" s="6">
        <v>1.9E-2</v>
      </c>
      <c r="F3" s="197">
        <v>0.26393836736679077</v>
      </c>
    </row>
    <row r="4" spans="1:7" x14ac:dyDescent="0.25">
      <c r="A4" t="s">
        <v>281</v>
      </c>
      <c r="B4" s="190">
        <v>8</v>
      </c>
      <c r="C4" s="197">
        <v>0.36589118838310242</v>
      </c>
      <c r="D4" s="6"/>
      <c r="E4" s="6">
        <v>1.9E-2</v>
      </c>
      <c r="F4" s="197">
        <v>0.23511198163032532</v>
      </c>
    </row>
    <row r="5" spans="1:7" x14ac:dyDescent="0.25">
      <c r="A5" t="s">
        <v>281</v>
      </c>
      <c r="B5" s="190">
        <v>10</v>
      </c>
      <c r="C5" s="197">
        <v>0.29804989695549011</v>
      </c>
      <c r="D5" s="6"/>
      <c r="E5" s="6">
        <v>1.9E-2</v>
      </c>
      <c r="F5" s="197">
        <v>0.19340282678604126</v>
      </c>
    </row>
    <row r="6" spans="1:7" x14ac:dyDescent="0.25">
      <c r="A6" t="s">
        <v>281</v>
      </c>
      <c r="B6" s="190">
        <v>14</v>
      </c>
      <c r="C6" s="197">
        <v>0.25369837880134583</v>
      </c>
      <c r="D6" s="6"/>
      <c r="E6" s="6">
        <v>1.9E-2</v>
      </c>
      <c r="F6" s="197">
        <v>0.15090496838092804</v>
      </c>
    </row>
    <row r="7" spans="1:7" x14ac:dyDescent="0.25">
      <c r="A7" t="s">
        <v>281</v>
      </c>
      <c r="B7" s="190">
        <v>23</v>
      </c>
      <c r="C7" s="197">
        <v>0.173082634806633</v>
      </c>
      <c r="D7" s="6"/>
      <c r="E7" s="6">
        <v>1.9E-2</v>
      </c>
      <c r="F7" s="197">
        <v>0.11891812831163406</v>
      </c>
    </row>
    <row r="8" spans="1:7" x14ac:dyDescent="0.25">
      <c r="A8" t="s">
        <v>281</v>
      </c>
      <c r="B8" s="190">
        <v>25</v>
      </c>
      <c r="C8" s="197">
        <v>0.16633450984954834</v>
      </c>
      <c r="D8" s="6"/>
      <c r="E8" s="6">
        <v>1.9E-2</v>
      </c>
      <c r="F8" s="197">
        <v>0.11208734661340714</v>
      </c>
    </row>
    <row r="9" spans="1:7" x14ac:dyDescent="0.25">
      <c r="A9" t="s">
        <v>281</v>
      </c>
      <c r="B9" s="190">
        <v>26</v>
      </c>
      <c r="C9" s="197">
        <v>0.16501632332801819</v>
      </c>
      <c r="D9" s="6"/>
      <c r="E9" s="6">
        <v>1.9E-2</v>
      </c>
      <c r="F9" s="197">
        <v>0.10890967398881912</v>
      </c>
    </row>
    <row r="10" spans="1:7" x14ac:dyDescent="0.25">
      <c r="A10" t="s">
        <v>281</v>
      </c>
      <c r="B10" s="190">
        <v>31</v>
      </c>
      <c r="C10" s="197">
        <v>0.1514502614736557</v>
      </c>
      <c r="D10" s="6"/>
      <c r="E10" s="6">
        <v>1.9E-2</v>
      </c>
      <c r="F10" s="197">
        <v>9.5221132040023804E-2</v>
      </c>
    </row>
    <row r="11" spans="1:7" x14ac:dyDescent="0.25">
      <c r="A11" t="s">
        <v>281</v>
      </c>
      <c r="B11" s="190">
        <v>32</v>
      </c>
      <c r="C11" s="197">
        <v>0.1482747346162796</v>
      </c>
      <c r="D11" s="6"/>
      <c r="E11" s="6">
        <v>1.9E-2</v>
      </c>
      <c r="F11" s="197">
        <v>9.2876210808753967E-2</v>
      </c>
    </row>
    <row r="12" spans="1:7" x14ac:dyDescent="0.25">
      <c r="A12" t="s">
        <v>281</v>
      </c>
      <c r="B12" s="190">
        <v>34</v>
      </c>
      <c r="C12" s="197">
        <v>0.14195920526981354</v>
      </c>
      <c r="D12" s="6"/>
      <c r="E12" s="6">
        <v>1.9E-2</v>
      </c>
      <c r="F12" s="197">
        <v>8.9635774493217468E-2</v>
      </c>
    </row>
    <row r="13" spans="1:7" x14ac:dyDescent="0.25">
      <c r="A13" t="s">
        <v>281</v>
      </c>
      <c r="B13" s="190">
        <v>40</v>
      </c>
      <c r="C13" s="197">
        <v>0.12461864948272705</v>
      </c>
      <c r="D13" s="6"/>
      <c r="E13" s="6">
        <v>1.9E-2</v>
      </c>
      <c r="F13" s="197">
        <v>8.6121469736099243E-2</v>
      </c>
    </row>
    <row r="14" spans="1:7" x14ac:dyDescent="0.25">
      <c r="A14" t="s">
        <v>281</v>
      </c>
      <c r="B14" s="190">
        <v>45</v>
      </c>
      <c r="C14" s="197">
        <v>0.12027820944786072</v>
      </c>
      <c r="D14" s="6"/>
      <c r="E14" s="6">
        <v>1.9E-2</v>
      </c>
      <c r="F14" s="197">
        <v>8.1239774823188782E-2</v>
      </c>
    </row>
    <row r="15" spans="1:7" x14ac:dyDescent="0.25">
      <c r="A15" t="s">
        <v>281</v>
      </c>
      <c r="B15" s="190">
        <v>48</v>
      </c>
      <c r="C15" s="197">
        <v>0.11673671007156372</v>
      </c>
      <c r="D15" s="6"/>
      <c r="E15" s="6">
        <v>1.9E-2</v>
      </c>
      <c r="F15" s="197">
        <v>7.8180104494094849E-2</v>
      </c>
    </row>
    <row r="16" spans="1:7" x14ac:dyDescent="0.25">
      <c r="A16" t="s">
        <v>281</v>
      </c>
      <c r="B16" s="190">
        <v>51</v>
      </c>
      <c r="C16" s="197">
        <v>0.11258272081613541</v>
      </c>
      <c r="D16" s="6"/>
      <c r="E16" s="6">
        <v>1.9E-2</v>
      </c>
      <c r="F16" s="197">
        <v>7.5187154114246368E-2</v>
      </c>
    </row>
    <row r="17" spans="1:6" x14ac:dyDescent="0.25">
      <c r="A17" t="s">
        <v>281</v>
      </c>
      <c r="B17" s="190">
        <v>61</v>
      </c>
      <c r="C17" s="197">
        <v>9.9011130630970001E-2</v>
      </c>
      <c r="D17" s="6"/>
      <c r="E17" s="6">
        <v>1.9E-2</v>
      </c>
      <c r="F17" s="197">
        <v>6.801094114780426E-2</v>
      </c>
    </row>
    <row r="18" spans="1:6" x14ac:dyDescent="0.25">
      <c r="A18" t="s">
        <v>281</v>
      </c>
      <c r="B18" s="190">
        <v>82</v>
      </c>
      <c r="C18" s="197">
        <v>8.5186809301376343E-2</v>
      </c>
      <c r="D18" s="6"/>
      <c r="E18" s="6">
        <v>1.9E-2</v>
      </c>
      <c r="F18" s="197">
        <v>5.9705641120672226E-2</v>
      </c>
    </row>
    <row r="19" spans="1:6" x14ac:dyDescent="0.25">
      <c r="A19" t="s">
        <v>281</v>
      </c>
      <c r="B19" s="190">
        <v>83</v>
      </c>
      <c r="C19" s="197">
        <v>8.4563404321670532E-2</v>
      </c>
      <c r="D19" s="6"/>
      <c r="E19" s="6">
        <v>1.9E-2</v>
      </c>
      <c r="F19" s="197">
        <v>5.9244479984045029E-2</v>
      </c>
    </row>
    <row r="20" spans="1:6" x14ac:dyDescent="0.25">
      <c r="A20" t="s">
        <v>281</v>
      </c>
      <c r="B20" s="190">
        <v>92</v>
      </c>
      <c r="C20" s="197">
        <v>8.2325167953968048E-2</v>
      </c>
      <c r="D20" s="6"/>
      <c r="E20" s="6">
        <v>1.9E-2</v>
      </c>
      <c r="F20" s="197">
        <v>5.7057924568653107E-2</v>
      </c>
    </row>
    <row r="21" spans="1:6" x14ac:dyDescent="0.25">
      <c r="A21" t="s">
        <v>281</v>
      </c>
      <c r="B21" s="190">
        <v>94</v>
      </c>
      <c r="C21" s="197">
        <v>8.1444233655929565E-2</v>
      </c>
      <c r="D21" s="6"/>
      <c r="E21" s="6">
        <v>1.9E-2</v>
      </c>
      <c r="F21" s="197">
        <v>5.6777987629175186E-2</v>
      </c>
    </row>
    <row r="22" spans="1:6" x14ac:dyDescent="0.25">
      <c r="A22" t="s">
        <v>281</v>
      </c>
      <c r="B22" s="190">
        <v>107</v>
      </c>
      <c r="C22" s="197">
        <v>7.4827633798122406E-2</v>
      </c>
      <c r="D22" s="6"/>
      <c r="E22" s="6">
        <v>1.9E-2</v>
      </c>
      <c r="F22" s="197">
        <v>5.3839612752199173E-2</v>
      </c>
    </row>
    <row r="23" spans="1:6" x14ac:dyDescent="0.25">
      <c r="A23" t="s">
        <v>281</v>
      </c>
      <c r="B23" s="190">
        <v>109</v>
      </c>
      <c r="C23" s="197">
        <v>7.4763275682926178E-2</v>
      </c>
      <c r="D23" s="6"/>
      <c r="E23" s="6">
        <v>1.9E-2</v>
      </c>
      <c r="F23" s="197">
        <v>5.3303938359022141E-2</v>
      </c>
    </row>
    <row r="24" spans="1:6" x14ac:dyDescent="0.25">
      <c r="A24" t="s">
        <v>281</v>
      </c>
      <c r="B24" s="190">
        <v>111</v>
      </c>
      <c r="C24" s="197">
        <v>7.4542529881000519E-2</v>
      </c>
      <c r="D24" s="6"/>
      <c r="E24" s="6">
        <v>1.9E-2</v>
      </c>
      <c r="F24" s="197">
        <v>5.2760884165763855E-2</v>
      </c>
    </row>
    <row r="25" spans="1:6" x14ac:dyDescent="0.25">
      <c r="A25" t="s">
        <v>281</v>
      </c>
      <c r="B25" s="190">
        <v>121</v>
      </c>
      <c r="C25" s="197">
        <v>7.2009652853012085E-2</v>
      </c>
      <c r="D25" s="6"/>
      <c r="E25" s="6">
        <v>1.9E-2</v>
      </c>
      <c r="F25" s="197">
        <v>5.0779350101947784E-2</v>
      </c>
    </row>
    <row r="26" spans="1:6" x14ac:dyDescent="0.25">
      <c r="A26" t="s">
        <v>281</v>
      </c>
      <c r="B26" s="190">
        <v>135</v>
      </c>
      <c r="C26" s="197">
        <v>6.7781239748001099E-2</v>
      </c>
      <c r="D26" s="6"/>
      <c r="E26" s="6">
        <v>1.9E-2</v>
      </c>
      <c r="F26" s="197">
        <v>4.9215234816074371E-2</v>
      </c>
    </row>
    <row r="27" spans="1:6" x14ac:dyDescent="0.25">
      <c r="A27" t="s">
        <v>281</v>
      </c>
      <c r="B27" s="190">
        <v>139</v>
      </c>
      <c r="C27" s="197">
        <v>6.7393407225608826E-2</v>
      </c>
      <c r="D27" s="6"/>
      <c r="E27" s="6">
        <v>1.9E-2</v>
      </c>
      <c r="F27" s="197">
        <v>4.8557989299297333E-2</v>
      </c>
    </row>
    <row r="28" spans="1:6" x14ac:dyDescent="0.25">
      <c r="A28" t="s">
        <v>281</v>
      </c>
      <c r="B28" s="190">
        <v>148</v>
      </c>
      <c r="C28" s="197">
        <v>6.5654560923576355E-2</v>
      </c>
      <c r="D28" s="6"/>
      <c r="E28" s="6">
        <v>1.9E-2</v>
      </c>
      <c r="F28" s="197">
        <v>4.6952731907367706E-2</v>
      </c>
    </row>
    <row r="29" spans="1:6" x14ac:dyDescent="0.25">
      <c r="A29" t="s">
        <v>281</v>
      </c>
      <c r="B29" s="190">
        <v>150</v>
      </c>
      <c r="C29" s="197">
        <v>6.5170913934707642E-2</v>
      </c>
      <c r="D29" s="6"/>
      <c r="E29" s="6">
        <v>1.9E-2</v>
      </c>
      <c r="F29" s="197">
        <v>4.6584926545619965E-2</v>
      </c>
    </row>
    <row r="30" spans="1:6" x14ac:dyDescent="0.25">
      <c r="A30" t="s">
        <v>281</v>
      </c>
      <c r="B30" s="190">
        <v>169</v>
      </c>
      <c r="C30" s="197">
        <v>6.1946101486682892E-2</v>
      </c>
      <c r="D30" s="6"/>
      <c r="E30" s="6">
        <v>1.9E-2</v>
      </c>
      <c r="F30" s="197">
        <v>4.526771605014801E-2</v>
      </c>
    </row>
    <row r="31" spans="1:6" x14ac:dyDescent="0.25">
      <c r="A31" t="s">
        <v>281</v>
      </c>
      <c r="B31" s="190">
        <v>175</v>
      </c>
      <c r="C31" s="197">
        <v>6.1042740941047668E-2</v>
      </c>
      <c r="D31" s="6"/>
      <c r="E31" s="6">
        <v>1.9E-2</v>
      </c>
      <c r="F31" s="197">
        <v>4.4566206634044647E-2</v>
      </c>
    </row>
    <row r="32" spans="1:6" x14ac:dyDescent="0.25">
      <c r="A32" t="s">
        <v>281</v>
      </c>
      <c r="B32" s="190">
        <v>181</v>
      </c>
      <c r="C32" s="197">
        <v>5.9930436313152313E-2</v>
      </c>
      <c r="D32" s="6"/>
      <c r="E32" s="6">
        <v>1.9E-2</v>
      </c>
      <c r="F32" s="197">
        <v>4.3802425265312195E-2</v>
      </c>
    </row>
    <row r="33" spans="1:7" x14ac:dyDescent="0.25">
      <c r="A33" t="s">
        <v>281</v>
      </c>
      <c r="B33" s="190">
        <v>191</v>
      </c>
      <c r="C33" s="197">
        <v>5.8413125574588776E-2</v>
      </c>
      <c r="D33" s="6"/>
      <c r="E33" s="6">
        <v>1.9E-2</v>
      </c>
      <c r="F33" s="197">
        <v>4.3200433254241943E-2</v>
      </c>
    </row>
    <row r="34" spans="1:7" x14ac:dyDescent="0.25">
      <c r="A34" t="s">
        <v>281</v>
      </c>
      <c r="B34" s="190">
        <v>194</v>
      </c>
      <c r="C34" s="197">
        <v>5.8266829699277878E-2</v>
      </c>
      <c r="D34" s="6"/>
      <c r="E34" s="6">
        <v>1.9E-2</v>
      </c>
      <c r="F34" s="197">
        <v>4.3071452528238297E-2</v>
      </c>
    </row>
    <row r="35" spans="1:7" x14ac:dyDescent="0.25">
      <c r="A35" t="s">
        <v>281</v>
      </c>
      <c r="B35" s="190">
        <v>197</v>
      </c>
      <c r="C35" s="197">
        <v>5.8033205568790436E-2</v>
      </c>
      <c r="D35" s="6"/>
      <c r="E35" s="6">
        <v>1.9E-2</v>
      </c>
      <c r="F35" s="197">
        <v>4.2904902249574661E-2</v>
      </c>
      <c r="G35" s="197">
        <v>9.2154834419488907E-5</v>
      </c>
    </row>
    <row r="36" spans="1:7" x14ac:dyDescent="0.25">
      <c r="A36" t="s">
        <v>281</v>
      </c>
      <c r="B36" s="190">
        <v>215</v>
      </c>
      <c r="C36" s="197">
        <v>5.5580180138349533E-2</v>
      </c>
      <c r="D36" s="6"/>
      <c r="E36" s="6">
        <v>1.9E-2</v>
      </c>
      <c r="F36" s="197">
        <v>4.1413914412260056E-2</v>
      </c>
      <c r="G36" s="197">
        <v>5.6918192422017455E-4</v>
      </c>
    </row>
    <row r="37" spans="1:7" x14ac:dyDescent="0.25">
      <c r="A37" t="s">
        <v>281</v>
      </c>
      <c r="B37" s="190">
        <v>246</v>
      </c>
      <c r="C37" s="197">
        <v>5.2695900201797485E-2</v>
      </c>
      <c r="D37" s="6"/>
      <c r="E37" s="6">
        <v>1.9E-2</v>
      </c>
      <c r="F37" s="197">
        <v>3.9811424911022186E-2</v>
      </c>
      <c r="G37" s="197">
        <v>1.4768547844141722E-3</v>
      </c>
    </row>
    <row r="38" spans="1:7" x14ac:dyDescent="0.25">
      <c r="A38" t="s">
        <v>281</v>
      </c>
      <c r="B38" s="190">
        <v>251</v>
      </c>
      <c r="C38" s="197">
        <v>5.2408594638109207E-2</v>
      </c>
      <c r="D38" s="6"/>
      <c r="E38" s="6">
        <v>1.9E-2</v>
      </c>
      <c r="F38" s="197">
        <v>3.9445068687200546E-2</v>
      </c>
      <c r="G38" s="197">
        <v>1.6429490642622113E-3</v>
      </c>
    </row>
    <row r="39" spans="1:7" x14ac:dyDescent="0.25">
      <c r="A39" t="s">
        <v>281</v>
      </c>
      <c r="B39" s="190">
        <v>260</v>
      </c>
      <c r="C39" s="197">
        <v>5.1988117396831512E-2</v>
      </c>
      <c r="D39" s="6"/>
      <c r="E39" s="6">
        <v>1.9E-2</v>
      </c>
      <c r="F39" s="197">
        <v>3.9028361439704895E-2</v>
      </c>
      <c r="G39" s="197">
        <v>1.9616174977272749E-3</v>
      </c>
    </row>
    <row r="40" spans="1:7" x14ac:dyDescent="0.25">
      <c r="A40" t="s">
        <v>281</v>
      </c>
      <c r="B40" s="190">
        <v>277</v>
      </c>
      <c r="C40" s="197">
        <v>5.0397619605064392E-2</v>
      </c>
      <c r="D40" s="6"/>
      <c r="E40" s="6">
        <v>1.9E-2</v>
      </c>
      <c r="F40" s="197">
        <v>3.8462184369564056E-2</v>
      </c>
      <c r="G40" s="197">
        <v>2.6488965377211571E-3</v>
      </c>
    </row>
    <row r="41" spans="1:7" x14ac:dyDescent="0.25">
      <c r="A41" t="s">
        <v>281</v>
      </c>
      <c r="B41" s="190">
        <v>294</v>
      </c>
      <c r="C41" s="197">
        <v>4.9635432660579681E-2</v>
      </c>
      <c r="D41" s="6"/>
      <c r="E41" s="6">
        <v>1.9E-2</v>
      </c>
      <c r="F41" s="197">
        <v>3.7532635033130646E-2</v>
      </c>
      <c r="G41" s="197">
        <v>3.4297844395041466E-3</v>
      </c>
    </row>
    <row r="42" spans="1:7" x14ac:dyDescent="0.25">
      <c r="A42" t="s">
        <v>281</v>
      </c>
      <c r="B42" s="190">
        <v>295</v>
      </c>
      <c r="C42" s="197">
        <v>4.9569521099328995E-2</v>
      </c>
      <c r="D42" s="6"/>
      <c r="E42" s="6">
        <v>1.9E-2</v>
      </c>
      <c r="F42" s="197">
        <v>3.7529606372117996E-2</v>
      </c>
      <c r="G42" s="197">
        <v>3.4414893016219139E-3</v>
      </c>
    </row>
    <row r="43" spans="1:7" x14ac:dyDescent="0.25">
      <c r="A43" t="s">
        <v>281</v>
      </c>
      <c r="B43" s="190">
        <v>299</v>
      </c>
      <c r="C43" s="197">
        <v>4.9280140548944473E-2</v>
      </c>
      <c r="D43" s="6"/>
      <c r="E43" s="6">
        <v>1.9E-2</v>
      </c>
      <c r="F43" s="197">
        <v>3.749161958694458E-2</v>
      </c>
      <c r="G43" s="197">
        <v>3.489653579890728E-3</v>
      </c>
    </row>
    <row r="44" spans="1:7" x14ac:dyDescent="0.25">
      <c r="A44" t="s">
        <v>281</v>
      </c>
      <c r="B44" s="191">
        <v>321</v>
      </c>
      <c r="C44" s="198">
        <v>4.8029880970716476E-2</v>
      </c>
      <c r="D44" s="6"/>
      <c r="E44" s="6">
        <v>1.9E-2</v>
      </c>
      <c r="F44" s="198">
        <v>3.676624596118927E-2</v>
      </c>
      <c r="G44" s="198">
        <v>3.8006422109901905E-3</v>
      </c>
    </row>
    <row r="45" spans="1:7" x14ac:dyDescent="0.25">
      <c r="A45" t="s">
        <v>281</v>
      </c>
      <c r="B45" s="190">
        <v>327</v>
      </c>
      <c r="C45" s="197">
        <v>4.7740772366523743E-2</v>
      </c>
      <c r="D45" s="6"/>
      <c r="E45" s="6">
        <v>1.9E-2</v>
      </c>
      <c r="F45" s="197">
        <v>3.6473646759986877E-2</v>
      </c>
      <c r="G45" s="197">
        <v>3.9018052630126476E-3</v>
      </c>
    </row>
    <row r="46" spans="1:7" x14ac:dyDescent="0.25">
      <c r="A46" t="s">
        <v>281</v>
      </c>
      <c r="B46" s="190">
        <v>347</v>
      </c>
      <c r="C46" s="197">
        <v>4.6554230153560638E-2</v>
      </c>
      <c r="D46" s="6"/>
      <c r="E46" s="6">
        <v>1.9E-2</v>
      </c>
      <c r="F46" s="197">
        <v>3.6040686070919037E-2</v>
      </c>
      <c r="G46" s="197">
        <v>4.3042670004069805E-3</v>
      </c>
    </row>
    <row r="47" spans="1:7" x14ac:dyDescent="0.25">
      <c r="A47" t="s">
        <v>281</v>
      </c>
      <c r="B47" s="190">
        <v>375</v>
      </c>
      <c r="C47" s="197">
        <v>4.5245308429002762E-2</v>
      </c>
      <c r="D47" s="197">
        <v>1.0066239337902516E-4</v>
      </c>
      <c r="E47" s="6">
        <v>1.9E-2</v>
      </c>
      <c r="F47" s="197">
        <v>3.5191290080547333E-2</v>
      </c>
      <c r="G47" s="197">
        <v>5.0888657569885254E-3</v>
      </c>
    </row>
    <row r="48" spans="1:7" x14ac:dyDescent="0.25">
      <c r="A48" t="s">
        <v>281</v>
      </c>
      <c r="B48" s="190">
        <v>397</v>
      </c>
      <c r="C48" s="197">
        <v>4.4591531157493591E-2</v>
      </c>
      <c r="D48" s="197">
        <v>3.0837988015264273E-4</v>
      </c>
      <c r="E48" s="6">
        <v>1.9E-2</v>
      </c>
      <c r="F48" s="197">
        <v>3.4701250493526459E-2</v>
      </c>
      <c r="G48" s="197">
        <v>5.4006311111152172E-3</v>
      </c>
    </row>
    <row r="49" spans="1:7" x14ac:dyDescent="0.25">
      <c r="A49" t="s">
        <v>281</v>
      </c>
      <c r="B49" s="190">
        <v>402</v>
      </c>
      <c r="C49" s="197">
        <v>4.4340182095766068E-2</v>
      </c>
      <c r="D49" s="197">
        <v>3.6298797931522131E-4</v>
      </c>
      <c r="E49" s="6">
        <v>1.9E-2</v>
      </c>
      <c r="F49" s="197">
        <v>3.4532483667135239E-2</v>
      </c>
      <c r="G49" s="197">
        <v>5.4502170532941818E-3</v>
      </c>
    </row>
    <row r="50" spans="1:7" x14ac:dyDescent="0.25">
      <c r="A50" t="s">
        <v>281</v>
      </c>
      <c r="B50" s="190">
        <v>425</v>
      </c>
      <c r="C50" s="197">
        <v>4.360339418053627E-2</v>
      </c>
      <c r="D50" s="197">
        <v>6.6178408451378345E-4</v>
      </c>
      <c r="E50" s="6">
        <v>1.9E-2</v>
      </c>
      <c r="F50" s="197">
        <v>3.4133993089199066E-2</v>
      </c>
      <c r="G50" s="197">
        <v>5.7440716773271561E-3</v>
      </c>
    </row>
    <row r="51" spans="1:7" x14ac:dyDescent="0.25">
      <c r="A51" t="s">
        <v>281</v>
      </c>
      <c r="B51" s="190">
        <v>436</v>
      </c>
      <c r="C51" s="197">
        <v>4.3164093047380447E-2</v>
      </c>
      <c r="D51" s="197">
        <v>8.3928368985652924E-4</v>
      </c>
      <c r="E51" s="6">
        <v>1.9E-2</v>
      </c>
      <c r="F51" s="197">
        <v>3.3872690051794052E-2</v>
      </c>
      <c r="G51" s="197">
        <v>5.9297150000929832E-3</v>
      </c>
    </row>
    <row r="52" spans="1:7" x14ac:dyDescent="0.25">
      <c r="A52" t="s">
        <v>281</v>
      </c>
      <c r="B52" s="190">
        <v>448</v>
      </c>
      <c r="C52" s="197">
        <v>4.2712096124887466E-2</v>
      </c>
      <c r="D52" s="197">
        <v>1.0657926322892308E-3</v>
      </c>
      <c r="E52" s="6">
        <v>1.9E-2</v>
      </c>
      <c r="F52" s="197">
        <v>3.3524833619594574E-2</v>
      </c>
      <c r="G52" s="197">
        <v>6.1725219711661339E-3</v>
      </c>
    </row>
    <row r="53" spans="1:7" x14ac:dyDescent="0.25">
      <c r="A53" t="s">
        <v>281</v>
      </c>
      <c r="B53" s="190">
        <v>450</v>
      </c>
      <c r="C53" s="197">
        <v>4.2693756520748138E-2</v>
      </c>
      <c r="D53" s="197">
        <v>1.1073637288063765E-3</v>
      </c>
      <c r="E53" s="6">
        <v>1.9E-2</v>
      </c>
      <c r="F53" s="197">
        <v>3.3521808683872223E-2</v>
      </c>
      <c r="G53" s="197">
        <v>6.2175230123102665E-3</v>
      </c>
    </row>
    <row r="54" spans="1:7" x14ac:dyDescent="0.25">
      <c r="A54" t="s">
        <v>281</v>
      </c>
      <c r="B54" s="190">
        <v>461</v>
      </c>
      <c r="C54" s="197">
        <v>4.2457059025764465E-2</v>
      </c>
      <c r="D54" s="197">
        <v>1.3583553954958916E-3</v>
      </c>
      <c r="E54" s="6">
        <v>1.9E-2</v>
      </c>
      <c r="F54" s="197">
        <v>3.3426541835069656E-2</v>
      </c>
      <c r="G54" s="197">
        <v>6.4907404594123363E-3</v>
      </c>
    </row>
    <row r="55" spans="1:7" x14ac:dyDescent="0.25">
      <c r="A55" t="s">
        <v>281</v>
      </c>
      <c r="B55" s="190">
        <v>466</v>
      </c>
      <c r="C55" s="197">
        <v>4.2289461940526962E-2</v>
      </c>
      <c r="D55" s="197">
        <v>1.4862356474623084E-3</v>
      </c>
      <c r="E55" s="6">
        <v>1.9E-2</v>
      </c>
      <c r="F55" s="197">
        <v>3.3346801996231079E-2</v>
      </c>
      <c r="G55" s="197">
        <v>6.524259690195322E-3</v>
      </c>
    </row>
    <row r="56" spans="1:7" x14ac:dyDescent="0.25">
      <c r="A56" t="s">
        <v>281</v>
      </c>
      <c r="B56" s="190">
        <v>514</v>
      </c>
      <c r="C56" s="197">
        <v>4.0832199156284332E-2</v>
      </c>
      <c r="D56" s="197">
        <v>2.2289277985692024E-3</v>
      </c>
      <c r="E56" s="6">
        <v>1.9E-2</v>
      </c>
      <c r="F56" s="197">
        <v>3.2536786049604416E-2</v>
      </c>
      <c r="G56" s="197">
        <v>6.971270777285099E-3</v>
      </c>
    </row>
    <row r="57" spans="1:7" x14ac:dyDescent="0.25">
      <c r="A57" t="s">
        <v>281</v>
      </c>
      <c r="B57" s="190">
        <v>532</v>
      </c>
      <c r="C57" s="197">
        <v>4.0574803948402405E-2</v>
      </c>
      <c r="D57" s="197">
        <v>2.387660089880228E-3</v>
      </c>
      <c r="E57" s="6">
        <v>1.9E-2</v>
      </c>
      <c r="F57" s="197">
        <v>3.2218318432569504E-2</v>
      </c>
      <c r="G57" s="197">
        <v>7.2705359198153019E-3</v>
      </c>
    </row>
    <row r="58" spans="1:7" x14ac:dyDescent="0.25">
      <c r="A58" t="s">
        <v>281</v>
      </c>
      <c r="B58" s="190">
        <v>539</v>
      </c>
      <c r="C58" s="197">
        <v>4.037829115986824E-2</v>
      </c>
      <c r="D58" s="197">
        <v>2.4641959462314844E-3</v>
      </c>
      <c r="E58" s="6">
        <v>1.9E-2</v>
      </c>
      <c r="F58" s="197">
        <v>3.2173153012990952E-2</v>
      </c>
      <c r="G58" s="197">
        <v>7.4123679660260677E-3</v>
      </c>
    </row>
    <row r="59" spans="1:7" x14ac:dyDescent="0.25">
      <c r="A59" t="s">
        <v>281</v>
      </c>
      <c r="B59" s="190">
        <v>543</v>
      </c>
      <c r="C59" s="197">
        <v>4.0247261524200439E-2</v>
      </c>
      <c r="D59" s="197">
        <v>2.5121986400336027E-3</v>
      </c>
      <c r="E59" s="6">
        <v>1.9E-2</v>
      </c>
      <c r="F59" s="197">
        <v>3.2131582498550415E-2</v>
      </c>
      <c r="G59" s="197">
        <v>7.4311131611466408E-3</v>
      </c>
    </row>
    <row r="60" spans="1:7" x14ac:dyDescent="0.25">
      <c r="A60" t="s">
        <v>281</v>
      </c>
      <c r="B60" s="190">
        <v>573</v>
      </c>
      <c r="C60" s="197">
        <v>3.9646904915571213E-2</v>
      </c>
      <c r="D60" s="197">
        <v>2.9935380443930626E-3</v>
      </c>
      <c r="E60" s="6">
        <v>1.9E-2</v>
      </c>
      <c r="F60" s="197">
        <v>3.167402371764183E-2</v>
      </c>
      <c r="G60" s="197">
        <v>7.6096327975392342E-3</v>
      </c>
    </row>
    <row r="61" spans="1:7" x14ac:dyDescent="0.25">
      <c r="A61" t="s">
        <v>281</v>
      </c>
      <c r="B61" s="190">
        <v>585</v>
      </c>
      <c r="C61" s="197">
        <v>3.927694633603096E-2</v>
      </c>
      <c r="D61" s="197">
        <v>3.2612418290227652E-3</v>
      </c>
      <c r="E61" s="6">
        <v>1.9E-2</v>
      </c>
      <c r="F61" s="197">
        <v>3.1584452837705612E-2</v>
      </c>
      <c r="G61" s="197">
        <v>7.7229901216924191E-3</v>
      </c>
    </row>
    <row r="62" spans="1:7" x14ac:dyDescent="0.25">
      <c r="A62" t="s">
        <v>281</v>
      </c>
      <c r="B62" s="190">
        <v>653</v>
      </c>
      <c r="C62" s="197">
        <v>3.8096088916063309E-2</v>
      </c>
      <c r="D62" s="197">
        <v>3.8179133553057909E-3</v>
      </c>
      <c r="E62" s="6">
        <v>1.9E-2</v>
      </c>
      <c r="F62" s="197">
        <v>3.0749496072530746E-2</v>
      </c>
      <c r="G62" s="197">
        <v>8.3286138251423836E-3</v>
      </c>
    </row>
    <row r="63" spans="1:7" x14ac:dyDescent="0.25">
      <c r="A63" t="s">
        <v>281</v>
      </c>
      <c r="B63" s="190">
        <v>717</v>
      </c>
      <c r="C63" s="197">
        <v>3.7157215178012848E-2</v>
      </c>
      <c r="D63" s="197">
        <v>4.4792867265641689E-3</v>
      </c>
      <c r="E63" s="6">
        <v>1.9E-2</v>
      </c>
      <c r="F63" s="197">
        <v>3.0202852562069893E-2</v>
      </c>
      <c r="G63" s="197">
        <v>8.8263265788555145E-3</v>
      </c>
    </row>
    <row r="64" spans="1:7" x14ac:dyDescent="0.25">
      <c r="A64" t="s">
        <v>281</v>
      </c>
      <c r="B64" s="190">
        <v>720</v>
      </c>
      <c r="C64" s="197">
        <v>3.7104163318872452E-2</v>
      </c>
      <c r="D64" s="197">
        <v>4.4962554238736629E-3</v>
      </c>
      <c r="E64" s="6">
        <v>1.9E-2</v>
      </c>
      <c r="F64" s="197">
        <v>3.0168991535902023E-2</v>
      </c>
      <c r="G64" s="197">
        <v>8.8433753699064255E-3</v>
      </c>
    </row>
    <row r="65" spans="1:7" x14ac:dyDescent="0.25">
      <c r="A65" t="s">
        <v>281</v>
      </c>
      <c r="B65" s="190">
        <v>733</v>
      </c>
      <c r="C65" s="197">
        <v>3.6822061985731125E-2</v>
      </c>
      <c r="D65" s="197">
        <v>4.5848707668483257E-3</v>
      </c>
      <c r="E65" s="6">
        <v>1.9E-2</v>
      </c>
      <c r="F65" s="197">
        <v>2.9993414878845215E-2</v>
      </c>
      <c r="G65" s="197">
        <v>8.932407945394516E-3</v>
      </c>
    </row>
    <row r="66" spans="1:7" x14ac:dyDescent="0.25">
      <c r="A66" t="s">
        <v>281</v>
      </c>
      <c r="B66" s="190">
        <v>742</v>
      </c>
      <c r="C66" s="197">
        <v>3.677985817193985E-2</v>
      </c>
      <c r="D66" s="197">
        <v>4.6621775254607201E-3</v>
      </c>
      <c r="E66" s="6">
        <v>1.9E-2</v>
      </c>
      <c r="F66" s="197">
        <v>2.9966536909341812E-2</v>
      </c>
      <c r="G66" s="197">
        <v>9.0097365900874138E-3</v>
      </c>
    </row>
    <row r="67" spans="1:7" x14ac:dyDescent="0.25">
      <c r="A67" t="s">
        <v>281</v>
      </c>
      <c r="B67" s="190">
        <v>805</v>
      </c>
      <c r="C67" s="197">
        <v>3.593067079782486E-2</v>
      </c>
      <c r="D67" s="197">
        <v>5.2197081968188286E-3</v>
      </c>
      <c r="E67" s="6">
        <v>1.9E-2</v>
      </c>
      <c r="F67" s="197">
        <v>2.948497049510479E-2</v>
      </c>
      <c r="G67" s="197">
        <v>9.3946782872080803E-3</v>
      </c>
    </row>
    <row r="68" spans="1:7" x14ac:dyDescent="0.25">
      <c r="A68" t="s">
        <v>281</v>
      </c>
      <c r="B68" s="190">
        <v>830</v>
      </c>
      <c r="C68" s="197">
        <v>3.5702202469110489E-2</v>
      </c>
      <c r="D68" s="197">
        <v>5.3715440444648266E-3</v>
      </c>
      <c r="E68" s="6">
        <v>1.9E-2</v>
      </c>
      <c r="F68" s="197">
        <v>2.9307212680578232E-2</v>
      </c>
      <c r="G68" s="197">
        <v>9.6180159598588943E-3</v>
      </c>
    </row>
    <row r="69" spans="1:7" x14ac:dyDescent="0.25">
      <c r="A69" t="s">
        <v>281</v>
      </c>
      <c r="B69" s="190">
        <v>834</v>
      </c>
      <c r="C69" s="197">
        <v>3.5645857453346252E-2</v>
      </c>
      <c r="D69" s="197">
        <v>5.4045864380896091E-3</v>
      </c>
      <c r="E69" s="6">
        <v>1.9E-2</v>
      </c>
      <c r="F69" s="197">
        <v>2.9287271201610565E-2</v>
      </c>
      <c r="G69" s="197">
        <v>9.6328062936663628E-3</v>
      </c>
    </row>
    <row r="70" spans="1:7" x14ac:dyDescent="0.25">
      <c r="A70" t="s">
        <v>281</v>
      </c>
      <c r="B70" s="190">
        <v>840</v>
      </c>
      <c r="C70" s="197">
        <v>3.554864227771759E-2</v>
      </c>
      <c r="D70" s="197">
        <v>5.4593561217188835E-3</v>
      </c>
      <c r="E70" s="6">
        <v>1.9E-2</v>
      </c>
      <c r="F70" s="197">
        <v>2.9248209670186043E-2</v>
      </c>
      <c r="G70" s="197">
        <v>9.6444152295589447E-3</v>
      </c>
    </row>
    <row r="71" spans="1:7" x14ac:dyDescent="0.25">
      <c r="A71" t="s">
        <v>281</v>
      </c>
      <c r="B71" s="190">
        <v>1087</v>
      </c>
      <c r="C71" s="197">
        <v>3.3313728868961334E-2</v>
      </c>
      <c r="D71" s="197">
        <v>6.9578755646944046E-3</v>
      </c>
      <c r="E71" s="6">
        <v>1.9E-2</v>
      </c>
      <c r="F71" s="197">
        <v>2.785935066640377E-2</v>
      </c>
      <c r="G71" s="197">
        <v>1.0738197714090347E-2</v>
      </c>
    </row>
    <row r="72" spans="1:7" x14ac:dyDescent="0.25">
      <c r="A72" t="s">
        <v>281</v>
      </c>
      <c r="B72">
        <v>1100</v>
      </c>
      <c r="C72" s="197">
        <v>3.3244442194700241E-2</v>
      </c>
      <c r="D72" s="197">
        <v>7.0527731440961361E-3</v>
      </c>
      <c r="E72" s="6">
        <v>1.9E-2</v>
      </c>
      <c r="F72" s="197">
        <v>2.7810217812657356E-2</v>
      </c>
      <c r="G72" s="197">
        <v>1.081471610814333E-2</v>
      </c>
    </row>
  </sheetData>
  <sortState ref="A2:E93">
    <sortCondition ref="B2"/>
  </sortState>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zoomScale="85" zoomScaleNormal="85" workbookViewId="0">
      <pane xSplit="2" ySplit="1" topLeftCell="J2" activePane="bottomRight" state="frozen"/>
      <selection pane="topRight" activeCell="C1" sqref="C1"/>
      <selection pane="bottomLeft" activeCell="A2" sqref="A2"/>
      <selection pane="bottomRight" activeCell="T25" sqref="T25"/>
    </sheetView>
  </sheetViews>
  <sheetFormatPr defaultRowHeight="15" x14ac:dyDescent="0.25"/>
  <cols>
    <col min="2" max="2" width="61" bestFit="1" customWidth="1"/>
    <col min="4" max="4" width="13.42578125" customWidth="1"/>
    <col min="5" max="5" width="20.140625" customWidth="1"/>
    <col min="6" max="6" width="18.140625" customWidth="1"/>
    <col min="7" max="7" width="21.42578125" customWidth="1"/>
    <col min="8" max="8" width="18" customWidth="1"/>
    <col min="9" max="9" width="17.42578125" customWidth="1"/>
    <col min="10" max="10" width="24.28515625" customWidth="1"/>
    <col min="11" max="11" width="9.140625" customWidth="1"/>
    <col min="12" max="12" width="11.42578125" customWidth="1"/>
    <col min="13" max="14" width="9.140625" customWidth="1"/>
    <col min="15" max="15" width="13.7109375" customWidth="1"/>
    <col min="16" max="16" width="12.7109375" customWidth="1"/>
    <col min="17" max="17" width="9.7109375" customWidth="1"/>
    <col min="18" max="18" width="17" customWidth="1"/>
    <col min="19" max="19" width="11.5703125" customWidth="1"/>
    <col min="20" max="21" width="11.85546875" customWidth="1"/>
    <col min="22" max="22" width="11" customWidth="1"/>
    <col min="25" max="25" width="10.85546875" customWidth="1"/>
  </cols>
  <sheetData>
    <row r="1" spans="1:37" ht="60" x14ac:dyDescent="0.25">
      <c r="A1" s="133" t="s">
        <v>140</v>
      </c>
      <c r="B1" s="133" t="s">
        <v>568</v>
      </c>
      <c r="C1" s="133" t="s">
        <v>141</v>
      </c>
      <c r="D1" s="133" t="s">
        <v>146</v>
      </c>
      <c r="E1" s="133" t="s">
        <v>142</v>
      </c>
      <c r="F1" s="133" t="s">
        <v>371</v>
      </c>
      <c r="G1" s="133" t="s">
        <v>144</v>
      </c>
      <c r="H1" s="133" t="s">
        <v>147</v>
      </c>
      <c r="I1" s="133" t="s">
        <v>145</v>
      </c>
      <c r="J1" s="133" t="s">
        <v>655</v>
      </c>
      <c r="K1" s="2" t="s">
        <v>140</v>
      </c>
      <c r="L1" s="11" t="s">
        <v>233</v>
      </c>
      <c r="M1" s="11" t="s">
        <v>320</v>
      </c>
      <c r="N1" s="11" t="s">
        <v>322</v>
      </c>
      <c r="O1" s="11" t="s">
        <v>321</v>
      </c>
      <c r="P1" s="11" t="s">
        <v>323</v>
      </c>
      <c r="Q1" s="11" t="s">
        <v>232</v>
      </c>
      <c r="R1" s="3" t="s">
        <v>144</v>
      </c>
      <c r="S1" s="11" t="s">
        <v>324</v>
      </c>
      <c r="T1" s="11" t="s">
        <v>325</v>
      </c>
      <c r="U1" s="11" t="s">
        <v>326</v>
      </c>
      <c r="V1" s="11" t="s">
        <v>327</v>
      </c>
      <c r="W1" s="11" t="s">
        <v>278</v>
      </c>
      <c r="X1" s="11" t="s">
        <v>716</v>
      </c>
      <c r="Y1" s="27" t="s">
        <v>328</v>
      </c>
      <c r="Z1" s="27" t="s">
        <v>287</v>
      </c>
      <c r="AA1" s="27" t="s">
        <v>288</v>
      </c>
      <c r="AB1" s="27" t="s">
        <v>319</v>
      </c>
    </row>
    <row r="2" spans="1:37" x14ac:dyDescent="0.25">
      <c r="A2" s="5" t="s">
        <v>30</v>
      </c>
      <c r="B2" s="74" t="s">
        <v>291</v>
      </c>
      <c r="C2" s="5">
        <v>25</v>
      </c>
      <c r="D2" s="5">
        <v>25</v>
      </c>
      <c r="E2" s="131">
        <v>0.56000000000000005</v>
      </c>
      <c r="F2" s="131">
        <v>0.36</v>
      </c>
      <c r="G2" s="131">
        <v>0.36</v>
      </c>
      <c r="H2" s="5" t="s">
        <v>671</v>
      </c>
      <c r="I2" s="5" t="s">
        <v>202</v>
      </c>
      <c r="J2" s="6">
        <v>1.2999999999999999E-2</v>
      </c>
      <c r="K2" t="str">
        <f t="shared" ref="K2:K33" si="0">A2</f>
        <v>RF4</v>
      </c>
      <c r="L2" s="9">
        <v>19</v>
      </c>
      <c r="M2">
        <v>11</v>
      </c>
      <c r="N2">
        <v>36</v>
      </c>
      <c r="O2">
        <f t="shared" ref="O2:O33" si="1">L2-M2</f>
        <v>8</v>
      </c>
      <c r="P2">
        <f t="shared" ref="P2:P33" si="2">N2-L2</f>
        <v>17</v>
      </c>
      <c r="Q2">
        <v>14</v>
      </c>
      <c r="R2">
        <v>36</v>
      </c>
      <c r="S2" s="9">
        <v>17.971679999999999</v>
      </c>
      <c r="T2" s="9">
        <v>57.47936</v>
      </c>
      <c r="U2" s="9">
        <f t="shared" ref="U2:U33" si="3">R2-S2</f>
        <v>18.028320000000001</v>
      </c>
      <c r="V2" s="9">
        <f t="shared" ref="V2:V33" si="4">T2-R2</f>
        <v>21.47936</v>
      </c>
      <c r="W2">
        <v>80</v>
      </c>
      <c r="X2">
        <v>55</v>
      </c>
      <c r="Y2">
        <f>IF('CEA Summary'!$O$4=2, L2, IF('CEA Summary'!$O$4=1,R2))</f>
        <v>19</v>
      </c>
      <c r="Z2" s="40">
        <f>IF('CEA Summary'!$O$4=2, O2, IF('CEA Summary'!$O$4=1, U2))</f>
        <v>8</v>
      </c>
      <c r="AA2" s="40">
        <f>IF('CEA Summary'!$O$4=2, P2, IF('CEA Summary'!$O$4=1, V2))</f>
        <v>17</v>
      </c>
      <c r="AB2" s="40">
        <f>IF('CEA Summary'!$O$4=2, Q2, IF('CEA Summary'!$O$4=1, W2))</f>
        <v>14</v>
      </c>
      <c r="AH2" s="156"/>
      <c r="AI2" s="157"/>
      <c r="AJ2" s="155"/>
      <c r="AK2" s="136"/>
    </row>
    <row r="3" spans="1:37" x14ac:dyDescent="0.25">
      <c r="A3" s="5" t="s">
        <v>10</v>
      </c>
      <c r="B3" s="74" t="s">
        <v>11</v>
      </c>
      <c r="C3" s="5">
        <v>14</v>
      </c>
      <c r="D3" s="5">
        <v>14</v>
      </c>
      <c r="E3" s="131">
        <v>0.83</v>
      </c>
      <c r="F3" s="131">
        <v>0.69</v>
      </c>
      <c r="G3" s="131">
        <v>0.93</v>
      </c>
      <c r="H3" s="5" t="s">
        <v>662</v>
      </c>
      <c r="I3" s="5" t="s">
        <v>663</v>
      </c>
      <c r="J3" s="6">
        <v>2.7E-2</v>
      </c>
      <c r="K3" t="str">
        <f t="shared" si="0"/>
        <v>R1H</v>
      </c>
      <c r="L3" s="9">
        <v>12</v>
      </c>
      <c r="M3">
        <v>8</v>
      </c>
      <c r="N3">
        <v>13</v>
      </c>
      <c r="O3">
        <f t="shared" si="1"/>
        <v>4</v>
      </c>
      <c r="P3">
        <f t="shared" si="2"/>
        <v>1</v>
      </c>
      <c r="Q3">
        <v>14</v>
      </c>
      <c r="R3">
        <v>93</v>
      </c>
      <c r="S3" s="9">
        <v>66.13154999999999</v>
      </c>
      <c r="T3" s="9">
        <v>99.819320000000005</v>
      </c>
      <c r="U3" s="9">
        <f t="shared" si="3"/>
        <v>26.86845000000001</v>
      </c>
      <c r="V3" s="9">
        <f t="shared" si="4"/>
        <v>6.8193200000000047</v>
      </c>
      <c r="W3">
        <v>80</v>
      </c>
      <c r="X3">
        <v>20</v>
      </c>
      <c r="Y3">
        <f>IF('CEA Summary'!$O$4=2, L3, IF('CEA Summary'!$O$4=1,R3))</f>
        <v>12</v>
      </c>
      <c r="Z3" s="40">
        <f>IF('CEA Summary'!$O$4=2, O3, IF('CEA Summary'!$O$4=1, U3))</f>
        <v>4</v>
      </c>
      <c r="AA3" s="40">
        <f>IF('CEA Summary'!$O$4=2, P3, IF('CEA Summary'!$O$4=1, V3))</f>
        <v>1</v>
      </c>
      <c r="AB3" s="40">
        <f>IF('CEA Summary'!$O$4=2, Q3, IF('CEA Summary'!$O$4=1, W3))</f>
        <v>14</v>
      </c>
      <c r="AH3" s="156"/>
      <c r="AI3" s="157"/>
      <c r="AJ3" s="155"/>
      <c r="AK3" s="136"/>
    </row>
    <row r="4" spans="1:37" x14ac:dyDescent="0.25">
      <c r="A4" s="5" t="s">
        <v>417</v>
      </c>
      <c r="B4" s="74" t="s">
        <v>418</v>
      </c>
      <c r="C4" s="5">
        <v>63</v>
      </c>
      <c r="D4" s="5">
        <v>54</v>
      </c>
      <c r="E4" s="131">
        <v>0.7</v>
      </c>
      <c r="F4" s="131">
        <v>0.32</v>
      </c>
      <c r="G4" s="131">
        <v>0.41</v>
      </c>
      <c r="H4" s="5" t="s">
        <v>666</v>
      </c>
      <c r="I4" s="5" t="s">
        <v>189</v>
      </c>
      <c r="J4" s="6">
        <v>1.7999999999999999E-2</v>
      </c>
      <c r="K4" t="str">
        <f t="shared" si="0"/>
        <v>RC9</v>
      </c>
      <c r="L4" s="9">
        <v>18</v>
      </c>
      <c r="M4">
        <v>11</v>
      </c>
      <c r="N4">
        <v>26</v>
      </c>
      <c r="O4">
        <f t="shared" si="1"/>
        <v>7</v>
      </c>
      <c r="P4">
        <f t="shared" si="2"/>
        <v>8</v>
      </c>
      <c r="Q4">
        <v>14</v>
      </c>
      <c r="R4">
        <v>41</v>
      </c>
      <c r="S4" s="9">
        <v>27.567989999999998</v>
      </c>
      <c r="T4" s="9">
        <v>54.965589999999999</v>
      </c>
      <c r="U4" s="9">
        <f t="shared" si="3"/>
        <v>13.432010000000002</v>
      </c>
      <c r="V4" s="9">
        <f t="shared" si="4"/>
        <v>13.965589999999999</v>
      </c>
      <c r="W4">
        <v>80</v>
      </c>
      <c r="X4">
        <v>50</v>
      </c>
      <c r="Y4">
        <f>IF('CEA Summary'!$O$4=2, L4, IF('CEA Summary'!$O$4=1,R4))</f>
        <v>18</v>
      </c>
      <c r="Z4" s="40">
        <f>IF('CEA Summary'!$O$4=2, O4, IF('CEA Summary'!$O$4=1, U4))</f>
        <v>7</v>
      </c>
      <c r="AA4" s="40">
        <f>IF('CEA Summary'!$O$4=2, P4, IF('CEA Summary'!$O$4=1, V4))</f>
        <v>8</v>
      </c>
      <c r="AB4" s="40">
        <f>IF('CEA Summary'!$O$4=2, Q4, IF('CEA Summary'!$O$4=1, W4))</f>
        <v>14</v>
      </c>
      <c r="AH4" s="156"/>
      <c r="AI4" s="157"/>
      <c r="AJ4" s="155"/>
      <c r="AK4" s="136"/>
    </row>
    <row r="5" spans="1:37" x14ac:dyDescent="0.25">
      <c r="A5" s="5" t="s">
        <v>137</v>
      </c>
      <c r="B5" s="74" t="s">
        <v>138</v>
      </c>
      <c r="C5" s="5">
        <v>125</v>
      </c>
      <c r="D5" s="5">
        <v>125</v>
      </c>
      <c r="E5" s="131">
        <v>0.68</v>
      </c>
      <c r="F5" s="131">
        <v>0.35</v>
      </c>
      <c r="G5" s="131">
        <v>0.35</v>
      </c>
      <c r="H5" s="5" t="s">
        <v>712</v>
      </c>
      <c r="I5" s="5" t="s">
        <v>164</v>
      </c>
      <c r="J5" s="6">
        <v>2.7E-2</v>
      </c>
      <c r="K5" t="str">
        <f t="shared" si="0"/>
        <v>ZT001</v>
      </c>
      <c r="L5" s="9">
        <v>21</v>
      </c>
      <c r="M5">
        <v>10</v>
      </c>
      <c r="N5">
        <v>30</v>
      </c>
      <c r="O5">
        <f t="shared" si="1"/>
        <v>11</v>
      </c>
      <c r="P5">
        <f t="shared" si="2"/>
        <v>9</v>
      </c>
      <c r="Q5">
        <v>14</v>
      </c>
      <c r="R5">
        <v>35</v>
      </c>
      <c r="S5" s="9">
        <v>26.872709999999998</v>
      </c>
      <c r="T5" s="9">
        <v>44.24635</v>
      </c>
      <c r="U5" s="9">
        <f t="shared" si="3"/>
        <v>8.1272900000000021</v>
      </c>
      <c r="V5" s="9">
        <f t="shared" si="4"/>
        <v>9.2463499999999996</v>
      </c>
      <c r="W5">
        <v>80</v>
      </c>
      <c r="X5">
        <v>59</v>
      </c>
      <c r="Y5">
        <f>IF('CEA Summary'!$O$4=2, L5, IF('CEA Summary'!$O$4=1,R5))</f>
        <v>21</v>
      </c>
      <c r="Z5" s="40">
        <f>IF('CEA Summary'!$O$4=2, O5, IF('CEA Summary'!$O$4=1, U5))</f>
        <v>11</v>
      </c>
      <c r="AA5" s="40">
        <f>IF('CEA Summary'!$O$4=2, P5, IF('CEA Summary'!$O$4=1, V5))</f>
        <v>9</v>
      </c>
      <c r="AB5" s="40">
        <f>IF('CEA Summary'!$O$4=2, Q5, IF('CEA Summary'!$O$4=1, W5))</f>
        <v>14</v>
      </c>
      <c r="AH5" s="156"/>
      <c r="AI5" s="157"/>
      <c r="AJ5" s="155"/>
      <c r="AK5" s="136"/>
    </row>
    <row r="6" spans="1:37" x14ac:dyDescent="0.25">
      <c r="A6" s="5" t="s">
        <v>0</v>
      </c>
      <c r="B6" s="74" t="s">
        <v>1</v>
      </c>
      <c r="C6" s="5">
        <v>22</v>
      </c>
      <c r="D6" s="5">
        <v>22</v>
      </c>
      <c r="E6" s="131">
        <v>0.68</v>
      </c>
      <c r="F6" s="131">
        <v>0.5</v>
      </c>
      <c r="G6" s="131">
        <v>0.59</v>
      </c>
      <c r="H6" s="5" t="s">
        <v>656</v>
      </c>
      <c r="I6" s="5" t="s">
        <v>162</v>
      </c>
      <c r="J6" s="6">
        <v>0</v>
      </c>
      <c r="K6" t="str">
        <f t="shared" si="0"/>
        <v>7A1</v>
      </c>
      <c r="L6" s="9">
        <v>13</v>
      </c>
      <c r="M6">
        <v>11</v>
      </c>
      <c r="N6">
        <v>17</v>
      </c>
      <c r="O6">
        <f t="shared" si="1"/>
        <v>2</v>
      </c>
      <c r="P6">
        <f t="shared" si="2"/>
        <v>4</v>
      </c>
      <c r="Q6">
        <v>14</v>
      </c>
      <c r="R6">
        <v>59</v>
      </c>
      <c r="S6" s="9">
        <v>36.354700000000001</v>
      </c>
      <c r="T6" s="9">
        <v>79.290689999999998</v>
      </c>
      <c r="U6" s="9">
        <f t="shared" si="3"/>
        <v>22.645299999999999</v>
      </c>
      <c r="V6" s="9">
        <f t="shared" si="4"/>
        <v>20.290689999999998</v>
      </c>
      <c r="W6">
        <v>80</v>
      </c>
      <c r="X6">
        <v>27</v>
      </c>
      <c r="Y6">
        <f>IF('CEA Summary'!$O$4=2, L6, IF('CEA Summary'!$O$4=1,R6))</f>
        <v>13</v>
      </c>
      <c r="Z6" s="40">
        <f>IF('CEA Summary'!$O$4=2, O6, IF('CEA Summary'!$O$4=1, U6))</f>
        <v>2</v>
      </c>
      <c r="AA6" s="40">
        <f>IF('CEA Summary'!$O$4=2, P6, IF('CEA Summary'!$O$4=1, V6))</f>
        <v>4</v>
      </c>
      <c r="AB6" s="40">
        <f>IF('CEA Summary'!$O$4=2, Q6, IF('CEA Summary'!$O$4=1, W6))</f>
        <v>14</v>
      </c>
      <c r="AH6" s="156"/>
      <c r="AI6" s="157"/>
      <c r="AJ6" s="155"/>
      <c r="AK6" s="136"/>
    </row>
    <row r="7" spans="1:37" x14ac:dyDescent="0.25">
      <c r="A7" s="5" t="s">
        <v>15</v>
      </c>
      <c r="B7" s="74" t="s">
        <v>16</v>
      </c>
      <c r="C7" s="5">
        <v>53</v>
      </c>
      <c r="D7" s="5">
        <v>53</v>
      </c>
      <c r="E7" s="131">
        <v>0.69</v>
      </c>
      <c r="F7" s="131">
        <v>0.47</v>
      </c>
      <c r="G7" s="131">
        <v>0.56999999999999995</v>
      </c>
      <c r="H7" s="5" t="s">
        <v>374</v>
      </c>
      <c r="I7" s="5" t="s">
        <v>189</v>
      </c>
      <c r="J7" s="6">
        <v>8.9999999999999993E-3</v>
      </c>
      <c r="K7" t="str">
        <f t="shared" si="0"/>
        <v>RAE</v>
      </c>
      <c r="L7" s="9">
        <v>13</v>
      </c>
      <c r="M7">
        <v>10</v>
      </c>
      <c r="N7">
        <v>19</v>
      </c>
      <c r="O7">
        <f t="shared" si="1"/>
        <v>3</v>
      </c>
      <c r="P7">
        <f t="shared" si="2"/>
        <v>6</v>
      </c>
      <c r="Q7">
        <v>14</v>
      </c>
      <c r="R7">
        <v>56.999999999999993</v>
      </c>
      <c r="S7" s="9">
        <v>42.282579999999996</v>
      </c>
      <c r="T7" s="9">
        <v>70.160789999999992</v>
      </c>
      <c r="U7" s="9">
        <f t="shared" si="3"/>
        <v>14.717419999999997</v>
      </c>
      <c r="V7" s="9">
        <f t="shared" si="4"/>
        <v>13.160789999999999</v>
      </c>
      <c r="W7">
        <v>80</v>
      </c>
      <c r="X7">
        <v>28</v>
      </c>
      <c r="Y7">
        <f>IF('CEA Summary'!$O$4=2, L7, IF('CEA Summary'!$O$4=1,R7))</f>
        <v>13</v>
      </c>
      <c r="Z7" s="40">
        <f>IF('CEA Summary'!$O$4=2, O7, IF('CEA Summary'!$O$4=1, U7))</f>
        <v>3</v>
      </c>
      <c r="AA7" s="40">
        <f>IF('CEA Summary'!$O$4=2, P7, IF('CEA Summary'!$O$4=1, V7))</f>
        <v>6</v>
      </c>
      <c r="AB7" s="40">
        <f>IF('CEA Summary'!$O$4=2, Q7, IF('CEA Summary'!$O$4=1, W7))</f>
        <v>14</v>
      </c>
      <c r="AH7" s="156"/>
      <c r="AI7" s="157"/>
      <c r="AJ7" s="155"/>
      <c r="AK7" s="136"/>
    </row>
    <row r="8" spans="1:37" x14ac:dyDescent="0.25">
      <c r="A8" s="5" t="s">
        <v>35</v>
      </c>
      <c r="B8" s="74" t="s">
        <v>36</v>
      </c>
      <c r="C8" s="5">
        <v>80</v>
      </c>
      <c r="D8" s="5">
        <v>76</v>
      </c>
      <c r="E8" s="131">
        <v>0.55000000000000004</v>
      </c>
      <c r="F8" s="131">
        <v>0.28999999999999998</v>
      </c>
      <c r="G8" s="131">
        <v>0.32</v>
      </c>
      <c r="H8" s="5" t="s">
        <v>672</v>
      </c>
      <c r="I8" s="5" t="s">
        <v>193</v>
      </c>
      <c r="J8" s="6">
        <v>2.3E-2</v>
      </c>
      <c r="K8" t="str">
        <f t="shared" si="0"/>
        <v>RGT</v>
      </c>
      <c r="L8" s="9">
        <v>21</v>
      </c>
      <c r="M8">
        <v>12</v>
      </c>
      <c r="N8">
        <v>39</v>
      </c>
      <c r="O8">
        <f t="shared" si="1"/>
        <v>9</v>
      </c>
      <c r="P8">
        <f t="shared" si="2"/>
        <v>18</v>
      </c>
      <c r="Q8">
        <v>14</v>
      </c>
      <c r="R8">
        <v>32</v>
      </c>
      <c r="S8" s="9">
        <v>21.38946</v>
      </c>
      <c r="T8" s="9">
        <v>43.25479</v>
      </c>
      <c r="U8" s="9">
        <f t="shared" si="3"/>
        <v>10.61054</v>
      </c>
      <c r="V8" s="9">
        <f t="shared" si="4"/>
        <v>11.25479</v>
      </c>
      <c r="W8">
        <v>80</v>
      </c>
      <c r="X8">
        <v>60</v>
      </c>
      <c r="Y8">
        <f>IF('CEA Summary'!$O$4=2, L8, IF('CEA Summary'!$O$4=1,R8))</f>
        <v>21</v>
      </c>
      <c r="Z8" s="40">
        <f>IF('CEA Summary'!$O$4=2, O8, IF('CEA Summary'!$O$4=1, U8))</f>
        <v>9</v>
      </c>
      <c r="AA8" s="40">
        <f>IF('CEA Summary'!$O$4=2, P8, IF('CEA Summary'!$O$4=1, V8))</f>
        <v>18</v>
      </c>
      <c r="AB8" s="40">
        <f>IF('CEA Summary'!$O$4=2, Q8, IF('CEA Summary'!$O$4=1, W8))</f>
        <v>14</v>
      </c>
      <c r="AH8" s="156"/>
      <c r="AI8" s="157"/>
      <c r="AJ8" s="155"/>
      <c r="AK8" s="136"/>
    </row>
    <row r="9" spans="1:37" x14ac:dyDescent="0.25">
      <c r="A9" s="5" t="s">
        <v>3</v>
      </c>
      <c r="B9" s="74" t="s">
        <v>4</v>
      </c>
      <c r="C9" s="5">
        <v>36</v>
      </c>
      <c r="D9" s="5">
        <v>36</v>
      </c>
      <c r="E9" s="131">
        <v>0.72</v>
      </c>
      <c r="F9" s="131">
        <v>0.69</v>
      </c>
      <c r="G9" s="131">
        <v>0.72</v>
      </c>
      <c r="H9" s="5" t="s">
        <v>658</v>
      </c>
      <c r="I9" s="5" t="s">
        <v>166</v>
      </c>
      <c r="J9" s="6">
        <v>3.7999999999999999E-2</v>
      </c>
      <c r="K9" t="str">
        <f t="shared" si="0"/>
        <v>7A4</v>
      </c>
      <c r="L9" s="9">
        <v>12</v>
      </c>
      <c r="M9">
        <v>7</v>
      </c>
      <c r="N9">
        <v>16</v>
      </c>
      <c r="O9">
        <f t="shared" si="1"/>
        <v>5</v>
      </c>
      <c r="P9">
        <f t="shared" si="2"/>
        <v>4</v>
      </c>
      <c r="Q9">
        <v>14</v>
      </c>
      <c r="R9">
        <v>72</v>
      </c>
      <c r="S9" s="9">
        <v>54.813890000000001</v>
      </c>
      <c r="T9" s="9">
        <v>85.799750000000003</v>
      </c>
      <c r="U9" s="9">
        <f t="shared" si="3"/>
        <v>17.186109999999999</v>
      </c>
      <c r="V9" s="9">
        <f t="shared" si="4"/>
        <v>13.799750000000003</v>
      </c>
      <c r="W9">
        <v>80</v>
      </c>
      <c r="X9">
        <v>21</v>
      </c>
      <c r="Y9">
        <f>IF('CEA Summary'!$O$4=2, L9, IF('CEA Summary'!$O$4=1,R9))</f>
        <v>12</v>
      </c>
      <c r="Z9" s="40">
        <f>IF('CEA Summary'!$O$4=2, O9, IF('CEA Summary'!$O$4=1, U9))</f>
        <v>5</v>
      </c>
      <c r="AA9" s="40">
        <f>IF('CEA Summary'!$O$4=2, P9, IF('CEA Summary'!$O$4=1, V9))</f>
        <v>4</v>
      </c>
      <c r="AB9" s="40">
        <f>IF('CEA Summary'!$O$4=2, Q9, IF('CEA Summary'!$O$4=1, W9))</f>
        <v>14</v>
      </c>
      <c r="AH9" s="156"/>
      <c r="AI9" s="157"/>
      <c r="AJ9" s="155"/>
      <c r="AK9" s="136"/>
    </row>
    <row r="10" spans="1:37" x14ac:dyDescent="0.25">
      <c r="A10" s="5" t="s">
        <v>51</v>
      </c>
      <c r="B10" s="74" t="s">
        <v>52</v>
      </c>
      <c r="C10" s="5">
        <v>80</v>
      </c>
      <c r="D10" s="5">
        <v>78</v>
      </c>
      <c r="E10" s="131">
        <v>0.61</v>
      </c>
      <c r="F10" s="131">
        <v>0.24</v>
      </c>
      <c r="G10" s="131">
        <v>0.35</v>
      </c>
      <c r="H10" s="5" t="s">
        <v>680</v>
      </c>
      <c r="I10" s="5" t="s">
        <v>168</v>
      </c>
      <c r="J10" s="6">
        <v>1.4999999999999999E-2</v>
      </c>
      <c r="K10" t="str">
        <f t="shared" si="0"/>
        <v>RJR</v>
      </c>
      <c r="L10" s="9">
        <v>17</v>
      </c>
      <c r="M10">
        <v>13</v>
      </c>
      <c r="N10">
        <v>31</v>
      </c>
      <c r="O10">
        <f t="shared" si="1"/>
        <v>4</v>
      </c>
      <c r="P10">
        <f t="shared" si="2"/>
        <v>14</v>
      </c>
      <c r="Q10">
        <v>14</v>
      </c>
      <c r="R10">
        <v>35</v>
      </c>
      <c r="S10" s="9">
        <v>24.196719999999999</v>
      </c>
      <c r="T10" s="9">
        <v>46.24118</v>
      </c>
      <c r="U10" s="9">
        <f t="shared" si="3"/>
        <v>10.803280000000001</v>
      </c>
      <c r="V10" s="9">
        <f t="shared" si="4"/>
        <v>11.24118</v>
      </c>
      <c r="W10">
        <v>80</v>
      </c>
      <c r="X10">
        <v>47</v>
      </c>
      <c r="Y10">
        <f>IF('CEA Summary'!$O$4=2, L10, IF('CEA Summary'!$O$4=1,R10))</f>
        <v>17</v>
      </c>
      <c r="Z10" s="40">
        <f>IF('CEA Summary'!$O$4=2, O10, IF('CEA Summary'!$O$4=1, U10))</f>
        <v>4</v>
      </c>
      <c r="AA10" s="40">
        <f>IF('CEA Summary'!$O$4=2, P10, IF('CEA Summary'!$O$4=1, V10))</f>
        <v>14</v>
      </c>
      <c r="AB10" s="40">
        <f>IF('CEA Summary'!$O$4=2, Q10, IF('CEA Summary'!$O$4=1, W10))</f>
        <v>14</v>
      </c>
      <c r="AH10" s="156"/>
      <c r="AI10" s="157"/>
      <c r="AJ10" s="155"/>
      <c r="AK10" s="136"/>
    </row>
    <row r="11" spans="1:37" x14ac:dyDescent="0.25">
      <c r="A11" s="5" t="s">
        <v>68</v>
      </c>
      <c r="B11" s="74" t="s">
        <v>293</v>
      </c>
      <c r="C11" s="5">
        <v>38</v>
      </c>
      <c r="D11" s="5">
        <v>36</v>
      </c>
      <c r="E11" s="131">
        <v>0.77</v>
      </c>
      <c r="F11" s="131">
        <v>0.49</v>
      </c>
      <c r="G11" s="131">
        <v>0.67</v>
      </c>
      <c r="H11" s="5" t="s">
        <v>688</v>
      </c>
      <c r="I11" s="5" t="s">
        <v>189</v>
      </c>
      <c r="J11" s="6">
        <v>8.0000000000000002E-3</v>
      </c>
      <c r="K11" t="str">
        <f t="shared" si="0"/>
        <v>RP5</v>
      </c>
      <c r="L11" s="9">
        <v>11</v>
      </c>
      <c r="M11">
        <v>8</v>
      </c>
      <c r="N11">
        <v>18</v>
      </c>
      <c r="O11">
        <f t="shared" si="1"/>
        <v>3</v>
      </c>
      <c r="P11">
        <f t="shared" si="2"/>
        <v>7</v>
      </c>
      <c r="Q11">
        <v>14</v>
      </c>
      <c r="R11">
        <v>67</v>
      </c>
      <c r="S11" s="9">
        <v>49.02975</v>
      </c>
      <c r="T11" s="9">
        <v>81.443820000000002</v>
      </c>
      <c r="U11" s="9">
        <f t="shared" si="3"/>
        <v>17.97025</v>
      </c>
      <c r="V11" s="9">
        <f t="shared" si="4"/>
        <v>14.443820000000002</v>
      </c>
      <c r="W11">
        <v>80</v>
      </c>
      <c r="X11">
        <v>19</v>
      </c>
      <c r="Y11">
        <f>IF('CEA Summary'!$O$4=2, L11, IF('CEA Summary'!$O$4=1,R11))</f>
        <v>11</v>
      </c>
      <c r="Z11" s="40">
        <f>IF('CEA Summary'!$O$4=2, O11, IF('CEA Summary'!$O$4=1, U11))</f>
        <v>3</v>
      </c>
      <c r="AA11" s="40">
        <f>IF('CEA Summary'!$O$4=2, P11, IF('CEA Summary'!$O$4=1, V11))</f>
        <v>7</v>
      </c>
      <c r="AB11" s="40">
        <f>IF('CEA Summary'!$O$4=2, Q11, IF('CEA Summary'!$O$4=1, W11))</f>
        <v>14</v>
      </c>
      <c r="AH11" s="156"/>
      <c r="AI11" s="157"/>
      <c r="AJ11" s="155"/>
      <c r="AK11" s="136"/>
    </row>
    <row r="12" spans="1:37" x14ac:dyDescent="0.25">
      <c r="A12" s="5" t="s">
        <v>103</v>
      </c>
      <c r="B12" s="74" t="s">
        <v>104</v>
      </c>
      <c r="C12" s="5">
        <v>27</v>
      </c>
      <c r="D12" s="5">
        <v>27</v>
      </c>
      <c r="E12" s="131">
        <v>0.92</v>
      </c>
      <c r="F12" s="131">
        <v>0.48</v>
      </c>
      <c r="G12" s="131">
        <v>0.65</v>
      </c>
      <c r="H12" s="5" t="s">
        <v>700</v>
      </c>
      <c r="I12" s="5" t="s">
        <v>179</v>
      </c>
      <c r="J12" s="6">
        <v>0.03</v>
      </c>
      <c r="K12" t="str">
        <f t="shared" si="0"/>
        <v>RWH</v>
      </c>
      <c r="L12" s="9">
        <v>11</v>
      </c>
      <c r="M12">
        <v>7</v>
      </c>
      <c r="N12">
        <v>18</v>
      </c>
      <c r="O12">
        <f t="shared" si="1"/>
        <v>4</v>
      </c>
      <c r="P12">
        <f t="shared" si="2"/>
        <v>7</v>
      </c>
      <c r="Q12">
        <v>14</v>
      </c>
      <c r="R12">
        <v>65</v>
      </c>
      <c r="S12" s="9">
        <v>44.332810000000002</v>
      </c>
      <c r="T12" s="9">
        <v>82.785589999999999</v>
      </c>
      <c r="U12" s="9">
        <f t="shared" si="3"/>
        <v>20.667189999999998</v>
      </c>
      <c r="V12" s="9">
        <f t="shared" si="4"/>
        <v>17.785589999999999</v>
      </c>
      <c r="W12">
        <v>80</v>
      </c>
      <c r="X12">
        <v>18</v>
      </c>
      <c r="Y12">
        <f>IF('CEA Summary'!$O$4=2, L12, IF('CEA Summary'!$O$4=1,R12))</f>
        <v>11</v>
      </c>
      <c r="Z12" s="40">
        <f>IF('CEA Summary'!$O$4=2, O12, IF('CEA Summary'!$O$4=1, U12))</f>
        <v>4</v>
      </c>
      <c r="AA12" s="40">
        <f>IF('CEA Summary'!$O$4=2, P12, IF('CEA Summary'!$O$4=1, V12))</f>
        <v>7</v>
      </c>
      <c r="AB12" s="40">
        <f>IF('CEA Summary'!$O$4=2, Q12, IF('CEA Summary'!$O$4=1, W12))</f>
        <v>14</v>
      </c>
      <c r="AH12" s="156"/>
      <c r="AI12" s="157"/>
      <c r="AJ12" s="155"/>
      <c r="AK12" s="136"/>
    </row>
    <row r="13" spans="1:37" x14ac:dyDescent="0.25">
      <c r="A13" s="5" t="s">
        <v>94</v>
      </c>
      <c r="B13" s="74" t="s">
        <v>95</v>
      </c>
      <c r="C13" s="5">
        <v>43</v>
      </c>
      <c r="D13" s="5">
        <v>39</v>
      </c>
      <c r="E13" s="131">
        <v>0.89</v>
      </c>
      <c r="F13" s="131">
        <v>0.5</v>
      </c>
      <c r="G13" s="131">
        <v>0.68</v>
      </c>
      <c r="H13" s="5" t="s">
        <v>695</v>
      </c>
      <c r="I13" s="5" t="s">
        <v>172</v>
      </c>
      <c r="J13" s="6">
        <v>1.4E-2</v>
      </c>
      <c r="K13" t="str">
        <f t="shared" si="0"/>
        <v>RVV</v>
      </c>
      <c r="L13" s="9">
        <v>10</v>
      </c>
      <c r="M13">
        <v>5</v>
      </c>
      <c r="N13">
        <v>19</v>
      </c>
      <c r="O13">
        <f t="shared" si="1"/>
        <v>5</v>
      </c>
      <c r="P13">
        <f t="shared" si="2"/>
        <v>9</v>
      </c>
      <c r="Q13">
        <v>14</v>
      </c>
      <c r="R13">
        <v>68</v>
      </c>
      <c r="S13" s="9">
        <v>51.347299999999997</v>
      </c>
      <c r="T13" s="9">
        <v>82.497469999999993</v>
      </c>
      <c r="U13" s="9">
        <f t="shared" si="3"/>
        <v>16.652700000000003</v>
      </c>
      <c r="V13" s="9">
        <f t="shared" si="4"/>
        <v>14.497469999999993</v>
      </c>
      <c r="W13">
        <v>80</v>
      </c>
      <c r="X13">
        <v>12</v>
      </c>
      <c r="Y13">
        <f>IF('CEA Summary'!$O$4=2, L13, IF('CEA Summary'!$O$4=1,R13))</f>
        <v>10</v>
      </c>
      <c r="Z13" s="40">
        <f>IF('CEA Summary'!$O$4=2, O13, IF('CEA Summary'!$O$4=1, U13))</f>
        <v>5</v>
      </c>
      <c r="AA13" s="40">
        <f>IF('CEA Summary'!$O$4=2, P13, IF('CEA Summary'!$O$4=1, V13))</f>
        <v>9</v>
      </c>
      <c r="AB13" s="40">
        <f>IF('CEA Summary'!$O$4=2, Q13, IF('CEA Summary'!$O$4=1, W13))</f>
        <v>14</v>
      </c>
      <c r="AH13" s="156"/>
      <c r="AI13" s="157"/>
      <c r="AJ13" s="155"/>
      <c r="AK13" s="136"/>
    </row>
    <row r="14" spans="1:37" x14ac:dyDescent="0.25">
      <c r="A14" s="5" t="s">
        <v>115</v>
      </c>
      <c r="B14" s="74" t="s">
        <v>116</v>
      </c>
      <c r="C14" s="5">
        <v>36</v>
      </c>
      <c r="D14" s="5">
        <v>32</v>
      </c>
      <c r="E14" s="131">
        <v>0.84</v>
      </c>
      <c r="F14" s="131">
        <v>0.19</v>
      </c>
      <c r="G14" s="131">
        <v>0.38</v>
      </c>
      <c r="H14" s="5" t="s">
        <v>701</v>
      </c>
      <c r="I14" s="5" t="s">
        <v>702</v>
      </c>
      <c r="J14" s="6">
        <v>6.5000000000000002E-2</v>
      </c>
      <c r="K14" t="str">
        <f t="shared" si="0"/>
        <v>RXR</v>
      </c>
      <c r="L14" s="9">
        <v>27</v>
      </c>
      <c r="M14">
        <v>12</v>
      </c>
      <c r="N14">
        <v>43</v>
      </c>
      <c r="O14">
        <f t="shared" si="1"/>
        <v>15</v>
      </c>
      <c r="P14">
        <f t="shared" si="2"/>
        <v>16</v>
      </c>
      <c r="Q14">
        <v>14</v>
      </c>
      <c r="R14">
        <v>38</v>
      </c>
      <c r="S14" s="9">
        <v>21.10003</v>
      </c>
      <c r="T14" s="9">
        <v>56.307759999999995</v>
      </c>
      <c r="U14" s="9">
        <f t="shared" si="3"/>
        <v>16.89997</v>
      </c>
      <c r="V14" s="9">
        <f t="shared" si="4"/>
        <v>18.307759999999995</v>
      </c>
      <c r="W14">
        <v>80</v>
      </c>
      <c r="X14">
        <v>66</v>
      </c>
      <c r="Y14">
        <f>IF('CEA Summary'!$O$4=2, L14, IF('CEA Summary'!$O$4=1,R14))</f>
        <v>27</v>
      </c>
      <c r="Z14" s="40">
        <f>IF('CEA Summary'!$O$4=2, O14, IF('CEA Summary'!$O$4=1, U14))</f>
        <v>15</v>
      </c>
      <c r="AA14" s="40">
        <f>IF('CEA Summary'!$O$4=2, P14, IF('CEA Summary'!$O$4=1, V14))</f>
        <v>16</v>
      </c>
      <c r="AB14" s="40">
        <f>IF('CEA Summary'!$O$4=2, Q14, IF('CEA Summary'!$O$4=1, W14))</f>
        <v>14</v>
      </c>
      <c r="AH14" s="156"/>
      <c r="AI14" s="157"/>
      <c r="AJ14" s="155"/>
      <c r="AK14" s="136"/>
    </row>
    <row r="15" spans="1:37" x14ac:dyDescent="0.25">
      <c r="A15" s="5" t="s">
        <v>24</v>
      </c>
      <c r="B15" s="74" t="s">
        <v>160</v>
      </c>
      <c r="C15" s="5">
        <v>51</v>
      </c>
      <c r="D15" s="5">
        <v>49</v>
      </c>
      <c r="E15" s="131">
        <v>0.6</v>
      </c>
      <c r="F15" s="131">
        <v>0.31</v>
      </c>
      <c r="G15" s="131">
        <v>0.41</v>
      </c>
      <c r="H15" s="5" t="s">
        <v>668</v>
      </c>
      <c r="I15" s="5" t="s">
        <v>172</v>
      </c>
      <c r="J15" s="6">
        <v>3.1E-2</v>
      </c>
      <c r="K15" t="str">
        <f t="shared" si="0"/>
        <v>RDE</v>
      </c>
      <c r="L15" s="9">
        <v>17</v>
      </c>
      <c r="M15">
        <v>11</v>
      </c>
      <c r="N15">
        <v>43</v>
      </c>
      <c r="O15">
        <f t="shared" si="1"/>
        <v>6</v>
      </c>
      <c r="P15">
        <f t="shared" si="2"/>
        <v>26</v>
      </c>
      <c r="Q15">
        <v>14</v>
      </c>
      <c r="R15">
        <v>41</v>
      </c>
      <c r="S15" s="9">
        <v>26.996700000000001</v>
      </c>
      <c r="T15" s="9">
        <v>55.787059999999997</v>
      </c>
      <c r="U15" s="9">
        <f t="shared" si="3"/>
        <v>14.003299999999999</v>
      </c>
      <c r="V15" s="9">
        <f t="shared" si="4"/>
        <v>14.787059999999997</v>
      </c>
      <c r="W15">
        <v>80</v>
      </c>
      <c r="X15">
        <v>49</v>
      </c>
      <c r="Y15">
        <f>IF('CEA Summary'!$O$4=2, L15, IF('CEA Summary'!$O$4=1,R15))</f>
        <v>17</v>
      </c>
      <c r="Z15" s="40">
        <f>IF('CEA Summary'!$O$4=2, O15, IF('CEA Summary'!$O$4=1, U15))</f>
        <v>6</v>
      </c>
      <c r="AA15" s="40">
        <f>IF('CEA Summary'!$O$4=2, P15, IF('CEA Summary'!$O$4=1, V15))</f>
        <v>26</v>
      </c>
      <c r="AB15" s="40">
        <f>IF('CEA Summary'!$O$4=2, Q15, IF('CEA Summary'!$O$4=1, W15))</f>
        <v>14</v>
      </c>
      <c r="AH15" s="156"/>
      <c r="AI15" s="157"/>
      <c r="AJ15" s="155"/>
      <c r="AK15" s="136"/>
    </row>
    <row r="16" spans="1:37" x14ac:dyDescent="0.25">
      <c r="A16" s="5" t="s">
        <v>25</v>
      </c>
      <c r="B16" s="74" t="s">
        <v>26</v>
      </c>
      <c r="C16" s="5">
        <v>42</v>
      </c>
      <c r="D16" s="5">
        <v>40</v>
      </c>
      <c r="E16" s="131">
        <v>0.84</v>
      </c>
      <c r="F16" s="131">
        <v>0.69</v>
      </c>
      <c r="G16" s="131">
        <v>0.79</v>
      </c>
      <c r="H16" s="5" t="s">
        <v>196</v>
      </c>
      <c r="I16" s="5" t="s">
        <v>197</v>
      </c>
      <c r="J16" s="6">
        <v>0.03</v>
      </c>
      <c r="K16" t="str">
        <f t="shared" si="0"/>
        <v>RDU</v>
      </c>
      <c r="L16" s="9">
        <v>8</v>
      </c>
      <c r="M16">
        <v>6</v>
      </c>
      <c r="N16">
        <v>11</v>
      </c>
      <c r="O16">
        <f t="shared" si="1"/>
        <v>2</v>
      </c>
      <c r="P16">
        <f t="shared" si="2"/>
        <v>3</v>
      </c>
      <c r="Q16">
        <v>14</v>
      </c>
      <c r="R16">
        <v>79</v>
      </c>
      <c r="S16" s="9">
        <v>63.535580000000003</v>
      </c>
      <c r="T16" s="9">
        <v>90.703609999999998</v>
      </c>
      <c r="U16" s="9">
        <f t="shared" si="3"/>
        <v>15.464419999999997</v>
      </c>
      <c r="V16" s="9">
        <f t="shared" si="4"/>
        <v>11.703609999999998</v>
      </c>
      <c r="W16">
        <v>80</v>
      </c>
      <c r="X16">
        <v>3</v>
      </c>
      <c r="Y16">
        <f>IF('CEA Summary'!$O$4=2, L16, IF('CEA Summary'!$O$4=1,R16))</f>
        <v>8</v>
      </c>
      <c r="Z16" s="40">
        <f>IF('CEA Summary'!$O$4=2, O16, IF('CEA Summary'!$O$4=1, U16))</f>
        <v>2</v>
      </c>
      <c r="AA16" s="40">
        <f>IF('CEA Summary'!$O$4=2, P16, IF('CEA Summary'!$O$4=1, V16))</f>
        <v>3</v>
      </c>
      <c r="AB16" s="40">
        <f>IF('CEA Summary'!$O$4=2, Q16, IF('CEA Summary'!$O$4=1, W16))</f>
        <v>14</v>
      </c>
      <c r="AH16" s="156"/>
      <c r="AI16" s="157"/>
      <c r="AJ16" s="155"/>
      <c r="AK16" s="136"/>
    </row>
    <row r="17" spans="1:37" x14ac:dyDescent="0.25">
      <c r="A17" s="5" t="s">
        <v>85</v>
      </c>
      <c r="B17" s="74" t="s">
        <v>86</v>
      </c>
      <c r="C17" s="5">
        <v>51</v>
      </c>
      <c r="D17" s="5">
        <v>43</v>
      </c>
      <c r="E17" s="131">
        <v>0.63</v>
      </c>
      <c r="F17" s="131">
        <v>0.51</v>
      </c>
      <c r="G17" s="131">
        <v>0.56000000000000005</v>
      </c>
      <c r="H17" s="5" t="s">
        <v>692</v>
      </c>
      <c r="I17" s="5" t="s">
        <v>189</v>
      </c>
      <c r="J17" s="6">
        <v>1.0999999999999999E-2</v>
      </c>
      <c r="K17" t="str">
        <f t="shared" si="0"/>
        <v>RTE</v>
      </c>
      <c r="L17" s="9">
        <v>13</v>
      </c>
      <c r="M17">
        <v>7</v>
      </c>
      <c r="N17">
        <v>27</v>
      </c>
      <c r="O17">
        <f t="shared" si="1"/>
        <v>6</v>
      </c>
      <c r="P17">
        <f t="shared" si="2"/>
        <v>14</v>
      </c>
      <c r="Q17">
        <v>14</v>
      </c>
      <c r="R17">
        <v>56.000000000000007</v>
      </c>
      <c r="S17" s="9">
        <v>39.875389999999996</v>
      </c>
      <c r="T17" s="9">
        <v>70.921880000000002</v>
      </c>
      <c r="U17" s="9">
        <f t="shared" si="3"/>
        <v>16.124610000000011</v>
      </c>
      <c r="V17" s="9">
        <f t="shared" si="4"/>
        <v>14.921879999999994</v>
      </c>
      <c r="W17">
        <v>80</v>
      </c>
      <c r="X17">
        <v>30</v>
      </c>
      <c r="Y17">
        <f>IF('CEA Summary'!$O$4=2, L17, IF('CEA Summary'!$O$4=1,R17))</f>
        <v>13</v>
      </c>
      <c r="Z17" s="40">
        <f>IF('CEA Summary'!$O$4=2, O17, IF('CEA Summary'!$O$4=1, U17))</f>
        <v>6</v>
      </c>
      <c r="AA17" s="40">
        <f>IF('CEA Summary'!$O$4=2, P17, IF('CEA Summary'!$O$4=1, V17))</f>
        <v>14</v>
      </c>
      <c r="AB17" s="40">
        <f>IF('CEA Summary'!$O$4=2, Q17, IF('CEA Summary'!$O$4=1, W17))</f>
        <v>14</v>
      </c>
      <c r="AH17" s="156"/>
      <c r="AI17" s="157"/>
      <c r="AJ17" s="155"/>
      <c r="AK17" s="136"/>
    </row>
    <row r="18" spans="1:37" x14ac:dyDescent="0.25">
      <c r="A18" s="5" t="s">
        <v>45</v>
      </c>
      <c r="B18" s="74" t="s">
        <v>46</v>
      </c>
      <c r="C18" s="5">
        <v>30</v>
      </c>
      <c r="D18" s="5">
        <v>28</v>
      </c>
      <c r="E18" s="131">
        <v>0.39</v>
      </c>
      <c r="F18" s="131">
        <v>0.43</v>
      </c>
      <c r="G18" s="131">
        <v>0.28999999999999998</v>
      </c>
      <c r="H18" s="5" t="s">
        <v>677</v>
      </c>
      <c r="I18" s="5" t="s">
        <v>171</v>
      </c>
      <c r="J18" s="6">
        <v>1.2E-2</v>
      </c>
      <c r="K18" t="str">
        <f t="shared" si="0"/>
        <v>RJ1</v>
      </c>
      <c r="L18" s="9">
        <v>19</v>
      </c>
      <c r="M18">
        <v>14</v>
      </c>
      <c r="N18">
        <v>43</v>
      </c>
      <c r="O18">
        <f t="shared" si="1"/>
        <v>5</v>
      </c>
      <c r="P18">
        <f t="shared" si="2"/>
        <v>24</v>
      </c>
      <c r="Q18">
        <v>14</v>
      </c>
      <c r="R18">
        <v>28.999999999999996</v>
      </c>
      <c r="S18" s="9">
        <v>13.223650000000001</v>
      </c>
      <c r="T18" s="9">
        <v>48.666829999999997</v>
      </c>
      <c r="U18" s="9">
        <f t="shared" si="3"/>
        <v>15.776349999999995</v>
      </c>
      <c r="V18" s="9">
        <f t="shared" si="4"/>
        <v>19.666830000000001</v>
      </c>
      <c r="W18">
        <v>80</v>
      </c>
      <c r="X18">
        <v>56</v>
      </c>
      <c r="Y18">
        <f>IF('CEA Summary'!$O$4=2, L18, IF('CEA Summary'!$O$4=1,R18))</f>
        <v>19</v>
      </c>
      <c r="Z18" s="40">
        <f>IF('CEA Summary'!$O$4=2, O18, IF('CEA Summary'!$O$4=1, U18))</f>
        <v>5</v>
      </c>
      <c r="AA18" s="40">
        <f>IF('CEA Summary'!$O$4=2, P18, IF('CEA Summary'!$O$4=1, V18))</f>
        <v>24</v>
      </c>
      <c r="AB18" s="40">
        <f>IF('CEA Summary'!$O$4=2, Q18, IF('CEA Summary'!$O$4=1, W18))</f>
        <v>14</v>
      </c>
      <c r="AH18" s="156"/>
      <c r="AI18" s="157"/>
      <c r="AJ18" s="155"/>
      <c r="AK18" s="136"/>
    </row>
    <row r="19" spans="1:37" x14ac:dyDescent="0.25">
      <c r="A19" s="5" t="s">
        <v>96</v>
      </c>
      <c r="B19" s="74" t="s">
        <v>294</v>
      </c>
      <c r="C19" s="5">
        <v>65</v>
      </c>
      <c r="D19" s="5">
        <v>65</v>
      </c>
      <c r="E19" s="131">
        <v>0.69</v>
      </c>
      <c r="F19" s="131">
        <v>0.5</v>
      </c>
      <c r="G19" s="131">
        <v>0.53</v>
      </c>
      <c r="H19" s="5" t="s">
        <v>696</v>
      </c>
      <c r="I19" s="5" t="s">
        <v>193</v>
      </c>
      <c r="J19" s="6">
        <v>3.7999999999999999E-2</v>
      </c>
      <c r="K19" t="str">
        <f t="shared" si="0"/>
        <v>RWA</v>
      </c>
      <c r="L19" s="9">
        <v>14</v>
      </c>
      <c r="M19">
        <v>8</v>
      </c>
      <c r="N19">
        <v>26</v>
      </c>
      <c r="O19">
        <f t="shared" si="1"/>
        <v>6</v>
      </c>
      <c r="P19">
        <f t="shared" si="2"/>
        <v>12</v>
      </c>
      <c r="Q19">
        <v>14</v>
      </c>
      <c r="R19">
        <v>53</v>
      </c>
      <c r="S19" s="9">
        <v>40.230980000000002</v>
      </c>
      <c r="T19" s="9">
        <v>65.72035000000001</v>
      </c>
      <c r="U19" s="9">
        <f t="shared" si="3"/>
        <v>12.769019999999998</v>
      </c>
      <c r="V19" s="9">
        <f t="shared" si="4"/>
        <v>12.72035000000001</v>
      </c>
      <c r="W19">
        <v>80</v>
      </c>
      <c r="X19">
        <v>38</v>
      </c>
      <c r="Y19">
        <f>IF('CEA Summary'!$O$4=2, L19, IF('CEA Summary'!$O$4=1,R19))</f>
        <v>14</v>
      </c>
      <c r="Z19" s="40">
        <f>IF('CEA Summary'!$O$4=2, O19, IF('CEA Summary'!$O$4=1, U19))</f>
        <v>6</v>
      </c>
      <c r="AA19" s="40">
        <f>IF('CEA Summary'!$O$4=2, P19, IF('CEA Summary'!$O$4=1, V19))</f>
        <v>12</v>
      </c>
      <c r="AB19" s="40">
        <f>IF('CEA Summary'!$O$4=2, Q19, IF('CEA Summary'!$O$4=1, W19))</f>
        <v>14</v>
      </c>
      <c r="AH19" s="156"/>
      <c r="AI19" s="157"/>
      <c r="AJ19" s="155"/>
      <c r="AK19" s="136"/>
    </row>
    <row r="20" spans="1:37" x14ac:dyDescent="0.25">
      <c r="A20" s="5" t="s">
        <v>119</v>
      </c>
      <c r="B20" s="74" t="s">
        <v>120</v>
      </c>
      <c r="C20" s="5">
        <v>47</v>
      </c>
      <c r="D20" s="5">
        <v>38</v>
      </c>
      <c r="E20" s="131">
        <v>0.63</v>
      </c>
      <c r="F20" s="131">
        <v>0.3</v>
      </c>
      <c r="G20" s="131">
        <v>0.45</v>
      </c>
      <c r="H20" s="5" t="s">
        <v>704</v>
      </c>
      <c r="I20" s="5" t="s">
        <v>186</v>
      </c>
      <c r="J20" s="6">
        <v>3.5000000000000003E-2</v>
      </c>
      <c r="K20" t="str">
        <f t="shared" si="0"/>
        <v>RYJ</v>
      </c>
      <c r="L20" s="9">
        <v>16</v>
      </c>
      <c r="M20">
        <v>10</v>
      </c>
      <c r="N20">
        <v>49</v>
      </c>
      <c r="O20">
        <f t="shared" si="1"/>
        <v>6</v>
      </c>
      <c r="P20">
        <f t="shared" si="2"/>
        <v>33</v>
      </c>
      <c r="Q20">
        <v>14</v>
      </c>
      <c r="R20">
        <v>45</v>
      </c>
      <c r="S20" s="9">
        <v>28.624149999999997</v>
      </c>
      <c r="T20" s="9">
        <v>61.700920000000004</v>
      </c>
      <c r="U20" s="9">
        <f t="shared" si="3"/>
        <v>16.375850000000003</v>
      </c>
      <c r="V20" s="9">
        <f t="shared" si="4"/>
        <v>16.700920000000004</v>
      </c>
      <c r="W20">
        <v>80</v>
      </c>
      <c r="X20">
        <v>46</v>
      </c>
      <c r="Y20">
        <f>IF('CEA Summary'!$O$4=2, L20, IF('CEA Summary'!$O$4=1,R20))</f>
        <v>16</v>
      </c>
      <c r="Z20" s="40">
        <f>IF('CEA Summary'!$O$4=2, O20, IF('CEA Summary'!$O$4=1, U20))</f>
        <v>6</v>
      </c>
      <c r="AA20" s="40">
        <f>IF('CEA Summary'!$O$4=2, P20, IF('CEA Summary'!$O$4=1, V20))</f>
        <v>33</v>
      </c>
      <c r="AB20" s="40">
        <f>IF('CEA Summary'!$O$4=2, Q20, IF('CEA Summary'!$O$4=1, W20))</f>
        <v>14</v>
      </c>
      <c r="AH20" s="156"/>
      <c r="AI20" s="157"/>
      <c r="AJ20" s="155"/>
      <c r="AK20" s="136"/>
    </row>
    <row r="21" spans="1:37" x14ac:dyDescent="0.25">
      <c r="A21" s="5" t="s">
        <v>53</v>
      </c>
      <c r="B21" s="74" t="s">
        <v>54</v>
      </c>
      <c r="C21" s="5">
        <v>64</v>
      </c>
      <c r="D21" s="5">
        <v>63</v>
      </c>
      <c r="E21" s="131">
        <v>0.87</v>
      </c>
      <c r="F21" s="131">
        <v>0.38</v>
      </c>
      <c r="G21" s="131">
        <v>0.41</v>
      </c>
      <c r="H21" s="5" t="s">
        <v>681</v>
      </c>
      <c r="I21" s="5" t="s">
        <v>161</v>
      </c>
      <c r="J21" s="6">
        <v>2.1000000000000001E-2</v>
      </c>
      <c r="K21" t="str">
        <f t="shared" si="0"/>
        <v>RJZ</v>
      </c>
      <c r="L21" s="9">
        <v>17</v>
      </c>
      <c r="M21">
        <v>7</v>
      </c>
      <c r="N21">
        <v>36</v>
      </c>
      <c r="O21">
        <f t="shared" si="1"/>
        <v>10</v>
      </c>
      <c r="P21">
        <f t="shared" si="2"/>
        <v>19</v>
      </c>
      <c r="Q21">
        <v>14</v>
      </c>
      <c r="R21">
        <v>41</v>
      </c>
      <c r="S21" s="9">
        <v>29.005969999999998</v>
      </c>
      <c r="T21" s="9">
        <v>54.382319999999993</v>
      </c>
      <c r="U21" s="9">
        <f t="shared" si="3"/>
        <v>11.994030000000002</v>
      </c>
      <c r="V21" s="9">
        <f t="shared" si="4"/>
        <v>13.382319999999993</v>
      </c>
      <c r="W21">
        <v>80</v>
      </c>
      <c r="X21">
        <v>48</v>
      </c>
      <c r="Y21">
        <f>IF('CEA Summary'!$O$4=2, L21, IF('CEA Summary'!$O$4=1,R21))</f>
        <v>17</v>
      </c>
      <c r="Z21" s="40">
        <f>IF('CEA Summary'!$O$4=2, O21, IF('CEA Summary'!$O$4=1, U21))</f>
        <v>10</v>
      </c>
      <c r="AA21" s="40">
        <f>IF('CEA Summary'!$O$4=2, P21, IF('CEA Summary'!$O$4=1, V21))</f>
        <v>19</v>
      </c>
      <c r="AB21" s="40">
        <f>IF('CEA Summary'!$O$4=2, Q21, IF('CEA Summary'!$O$4=1, W21))</f>
        <v>14</v>
      </c>
      <c r="AH21" s="156"/>
      <c r="AI21" s="157"/>
      <c r="AJ21" s="155"/>
      <c r="AK21" s="136"/>
    </row>
    <row r="22" spans="1:37" x14ac:dyDescent="0.25">
      <c r="A22" s="5" t="s">
        <v>113</v>
      </c>
      <c r="B22" s="74" t="s">
        <v>114</v>
      </c>
      <c r="C22" s="5">
        <v>88</v>
      </c>
      <c r="D22" s="5">
        <v>87</v>
      </c>
      <c r="E22" s="131">
        <v>0.56999999999999995</v>
      </c>
      <c r="F22" s="131">
        <v>0.2</v>
      </c>
      <c r="G22" s="131">
        <v>0.22</v>
      </c>
      <c r="H22" s="5" t="s">
        <v>455</v>
      </c>
      <c r="I22" s="5" t="s">
        <v>598</v>
      </c>
      <c r="J22" s="6">
        <v>1.0999999999999999E-2</v>
      </c>
      <c r="K22" t="str">
        <f t="shared" si="0"/>
        <v>RXN</v>
      </c>
      <c r="L22" s="9">
        <v>22</v>
      </c>
      <c r="M22">
        <v>15</v>
      </c>
      <c r="N22">
        <v>32</v>
      </c>
      <c r="O22">
        <f t="shared" si="1"/>
        <v>7</v>
      </c>
      <c r="P22">
        <f t="shared" si="2"/>
        <v>10</v>
      </c>
      <c r="Q22">
        <v>14</v>
      </c>
      <c r="R22">
        <v>22</v>
      </c>
      <c r="S22" s="9">
        <v>13.69042</v>
      </c>
      <c r="T22" s="9">
        <v>31.984590000000001</v>
      </c>
      <c r="U22" s="9">
        <f t="shared" si="3"/>
        <v>8.3095800000000004</v>
      </c>
      <c r="V22" s="9">
        <f t="shared" si="4"/>
        <v>9.9845900000000007</v>
      </c>
      <c r="W22">
        <v>80</v>
      </c>
      <c r="X22">
        <v>61</v>
      </c>
      <c r="Y22">
        <f>IF('CEA Summary'!$O$4=2, L22, IF('CEA Summary'!$O$4=1,R22))</f>
        <v>22</v>
      </c>
      <c r="Z22" s="40">
        <f>IF('CEA Summary'!$O$4=2, O22, IF('CEA Summary'!$O$4=1, U22))</f>
        <v>7</v>
      </c>
      <c r="AA22" s="40">
        <f>IF('CEA Summary'!$O$4=2, P22, IF('CEA Summary'!$O$4=1, V22))</f>
        <v>10</v>
      </c>
      <c r="AB22" s="40">
        <f>IF('CEA Summary'!$O$4=2, Q22, IF('CEA Summary'!$O$4=1, W22))</f>
        <v>14</v>
      </c>
      <c r="AH22" s="156"/>
      <c r="AI22" s="157"/>
      <c r="AJ22" s="155"/>
      <c r="AK22" s="136"/>
    </row>
    <row r="23" spans="1:37" x14ac:dyDescent="0.25">
      <c r="A23" s="5" t="s">
        <v>75</v>
      </c>
      <c r="B23" s="74" t="s">
        <v>76</v>
      </c>
      <c r="C23" s="5">
        <v>37</v>
      </c>
      <c r="D23" s="5">
        <v>37</v>
      </c>
      <c r="E23" s="131">
        <v>0.61</v>
      </c>
      <c r="F23" s="131">
        <v>0.59</v>
      </c>
      <c r="G23" s="131">
        <v>0.51</v>
      </c>
      <c r="H23" s="5" t="s">
        <v>372</v>
      </c>
      <c r="I23" s="5" t="s">
        <v>690</v>
      </c>
      <c r="J23" s="6">
        <v>1.2999999999999999E-2</v>
      </c>
      <c r="K23" t="str">
        <f t="shared" si="0"/>
        <v>RR8</v>
      </c>
      <c r="L23" s="9">
        <v>14</v>
      </c>
      <c r="M23">
        <v>10</v>
      </c>
      <c r="N23">
        <v>21</v>
      </c>
      <c r="O23">
        <f t="shared" si="1"/>
        <v>4</v>
      </c>
      <c r="P23">
        <f t="shared" si="2"/>
        <v>7</v>
      </c>
      <c r="Q23">
        <v>14</v>
      </c>
      <c r="R23">
        <v>51</v>
      </c>
      <c r="S23" s="9">
        <v>34.399679999999996</v>
      </c>
      <c r="T23" s="9">
        <v>68.078590000000005</v>
      </c>
      <c r="U23" s="9">
        <f t="shared" si="3"/>
        <v>16.600320000000004</v>
      </c>
      <c r="V23" s="9">
        <f t="shared" si="4"/>
        <v>17.078590000000005</v>
      </c>
      <c r="W23">
        <v>80</v>
      </c>
      <c r="X23">
        <v>34</v>
      </c>
      <c r="Y23">
        <f>IF('CEA Summary'!$O$4=2, L23, IF('CEA Summary'!$O$4=1,R23))</f>
        <v>14</v>
      </c>
      <c r="Z23" s="40">
        <f>IF('CEA Summary'!$O$4=2, O23, IF('CEA Summary'!$O$4=1, U23))</f>
        <v>4</v>
      </c>
      <c r="AA23" s="40">
        <f>IF('CEA Summary'!$O$4=2, P23, IF('CEA Summary'!$O$4=1, V23))</f>
        <v>7</v>
      </c>
      <c r="AB23" s="40">
        <f>IF('CEA Summary'!$O$4=2, Q23, IF('CEA Summary'!$O$4=1, W23))</f>
        <v>14</v>
      </c>
      <c r="AH23" s="156"/>
      <c r="AI23" s="157"/>
      <c r="AJ23" s="155"/>
      <c r="AK23" s="136"/>
    </row>
    <row r="24" spans="1:37" x14ac:dyDescent="0.25">
      <c r="A24" s="5" t="s">
        <v>29</v>
      </c>
      <c r="B24" s="74" t="s">
        <v>295</v>
      </c>
      <c r="C24" s="5">
        <v>105</v>
      </c>
      <c r="D24" s="5">
        <v>103</v>
      </c>
      <c r="E24" s="131">
        <v>0.65</v>
      </c>
      <c r="F24" s="131">
        <v>0.22</v>
      </c>
      <c r="G24" s="131">
        <v>0.31</v>
      </c>
      <c r="H24" s="5" t="s">
        <v>670</v>
      </c>
      <c r="I24" s="5" t="s">
        <v>192</v>
      </c>
      <c r="J24" s="6">
        <v>1.2999999999999999E-2</v>
      </c>
      <c r="K24" t="str">
        <f t="shared" si="0"/>
        <v>REM</v>
      </c>
      <c r="L24" s="9">
        <v>19</v>
      </c>
      <c r="M24">
        <v>13</v>
      </c>
      <c r="N24">
        <v>32</v>
      </c>
      <c r="O24">
        <f t="shared" si="1"/>
        <v>6</v>
      </c>
      <c r="P24">
        <f t="shared" si="2"/>
        <v>13</v>
      </c>
      <c r="Q24">
        <v>14</v>
      </c>
      <c r="R24">
        <v>31</v>
      </c>
      <c r="S24" s="9">
        <v>22.31484</v>
      </c>
      <c r="T24" s="9">
        <v>40.943000000000005</v>
      </c>
      <c r="U24" s="9">
        <f t="shared" si="3"/>
        <v>8.6851599999999998</v>
      </c>
      <c r="V24" s="9">
        <f t="shared" si="4"/>
        <v>9.9430000000000049</v>
      </c>
      <c r="W24">
        <v>80</v>
      </c>
      <c r="X24">
        <v>54</v>
      </c>
      <c r="Y24">
        <f>IF('CEA Summary'!$O$4=2, L24, IF('CEA Summary'!$O$4=1,R24))</f>
        <v>19</v>
      </c>
      <c r="Z24" s="40">
        <f>IF('CEA Summary'!$O$4=2, O24, IF('CEA Summary'!$O$4=1, U24))</f>
        <v>6</v>
      </c>
      <c r="AA24" s="40">
        <f>IF('CEA Summary'!$O$4=2, P24, IF('CEA Summary'!$O$4=1, V24))</f>
        <v>13</v>
      </c>
      <c r="AB24" s="40">
        <f>IF('CEA Summary'!$O$4=2, Q24, IF('CEA Summary'!$O$4=1, W24))</f>
        <v>14</v>
      </c>
      <c r="AH24" s="156"/>
      <c r="AI24" s="157"/>
      <c r="AJ24" s="155"/>
      <c r="AK24" s="136"/>
    </row>
    <row r="25" spans="1:37" x14ac:dyDescent="0.25">
      <c r="A25" s="5" t="s">
        <v>12</v>
      </c>
      <c r="B25" s="74" t="s">
        <v>296</v>
      </c>
      <c r="C25" s="5">
        <v>50</v>
      </c>
      <c r="D25" s="5">
        <v>44</v>
      </c>
      <c r="E25" s="131">
        <v>0.93</v>
      </c>
      <c r="F25" s="131">
        <v>0.74</v>
      </c>
      <c r="G25" s="131">
        <v>0.98</v>
      </c>
      <c r="H25" s="5" t="s">
        <v>167</v>
      </c>
      <c r="I25" s="5" t="s">
        <v>451</v>
      </c>
      <c r="J25" s="6">
        <v>1.4999999999999999E-2</v>
      </c>
      <c r="K25" t="str">
        <f t="shared" si="0"/>
        <v>R1K</v>
      </c>
      <c r="L25" s="9">
        <v>6</v>
      </c>
      <c r="M25">
        <v>5</v>
      </c>
      <c r="N25">
        <v>8</v>
      </c>
      <c r="O25">
        <f t="shared" si="1"/>
        <v>1</v>
      </c>
      <c r="P25">
        <f t="shared" si="2"/>
        <v>2</v>
      </c>
      <c r="Q25">
        <v>14</v>
      </c>
      <c r="R25">
        <v>98</v>
      </c>
      <c r="S25" s="9">
        <v>87.975840000000005</v>
      </c>
      <c r="T25" s="9">
        <v>99.942480000000003</v>
      </c>
      <c r="U25" s="9">
        <f t="shared" si="3"/>
        <v>10.024159999999995</v>
      </c>
      <c r="V25" s="9">
        <f t="shared" si="4"/>
        <v>1.9424800000000033</v>
      </c>
      <c r="W25">
        <v>80</v>
      </c>
      <c r="X25">
        <v>2</v>
      </c>
      <c r="Y25">
        <f>IF('CEA Summary'!$O$4=2, L25, IF('CEA Summary'!$O$4=1,R25))</f>
        <v>6</v>
      </c>
      <c r="Z25" s="40">
        <f>IF('CEA Summary'!$O$4=2, O25, IF('CEA Summary'!$O$4=1, U25))</f>
        <v>1</v>
      </c>
      <c r="AA25" s="40">
        <f>IF('CEA Summary'!$O$4=2, P25, IF('CEA Summary'!$O$4=1, V25))</f>
        <v>2</v>
      </c>
      <c r="AB25" s="40">
        <f>IF('CEA Summary'!$O$4=2, Q25, IF('CEA Summary'!$O$4=1, W25))</f>
        <v>14</v>
      </c>
      <c r="AH25" s="156"/>
      <c r="AI25" s="157"/>
      <c r="AJ25" s="155"/>
      <c r="AK25" s="136"/>
    </row>
    <row r="26" spans="1:37" x14ac:dyDescent="0.25">
      <c r="A26" s="5" t="s">
        <v>8</v>
      </c>
      <c r="B26" s="74" t="s">
        <v>9</v>
      </c>
      <c r="C26" s="5">
        <v>95</v>
      </c>
      <c r="D26" s="5">
        <v>77</v>
      </c>
      <c r="E26" s="131">
        <v>0.71</v>
      </c>
      <c r="F26" s="131">
        <v>0.15</v>
      </c>
      <c r="G26" s="131">
        <v>0.23</v>
      </c>
      <c r="H26" s="5" t="s">
        <v>659</v>
      </c>
      <c r="I26" s="5" t="s">
        <v>189</v>
      </c>
      <c r="J26" s="6">
        <v>1.6E-2</v>
      </c>
      <c r="K26" t="str">
        <f t="shared" si="0"/>
        <v>R0A</v>
      </c>
      <c r="L26" s="9">
        <v>23</v>
      </c>
      <c r="M26">
        <v>15</v>
      </c>
      <c r="N26">
        <v>34</v>
      </c>
      <c r="O26">
        <f t="shared" si="1"/>
        <v>8</v>
      </c>
      <c r="P26">
        <f t="shared" si="2"/>
        <v>11</v>
      </c>
      <c r="Q26">
        <v>14</v>
      </c>
      <c r="R26">
        <v>23</v>
      </c>
      <c r="S26" s="9">
        <v>14.48171</v>
      </c>
      <c r="T26" s="9">
        <v>34.405679999999997</v>
      </c>
      <c r="U26" s="9">
        <f t="shared" si="3"/>
        <v>8.5182900000000004</v>
      </c>
      <c r="V26" s="9">
        <f t="shared" si="4"/>
        <v>11.405679999999997</v>
      </c>
      <c r="W26">
        <v>80</v>
      </c>
      <c r="X26">
        <v>63</v>
      </c>
      <c r="Y26">
        <f>IF('CEA Summary'!$O$4=2, L26, IF('CEA Summary'!$O$4=1,R26))</f>
        <v>23</v>
      </c>
      <c r="Z26" s="40">
        <f>IF('CEA Summary'!$O$4=2, O26, IF('CEA Summary'!$O$4=1, U26))</f>
        <v>8</v>
      </c>
      <c r="AA26" s="40">
        <f>IF('CEA Summary'!$O$4=2, P26, IF('CEA Summary'!$O$4=1, V26))</f>
        <v>11</v>
      </c>
      <c r="AB26" s="40">
        <f>IF('CEA Summary'!$O$4=2, Q26, IF('CEA Summary'!$O$4=1, W26))</f>
        <v>14</v>
      </c>
      <c r="AH26" s="156"/>
      <c r="AI26" s="157"/>
      <c r="AJ26" s="155"/>
      <c r="AK26" s="136"/>
    </row>
    <row r="27" spans="1:37" x14ac:dyDescent="0.25">
      <c r="A27" s="5" t="s">
        <v>69</v>
      </c>
      <c r="B27" s="74" t="s">
        <v>70</v>
      </c>
      <c r="C27" s="5">
        <v>5</v>
      </c>
      <c r="D27" s="5">
        <v>5</v>
      </c>
      <c r="E27" s="131">
        <v>0.4</v>
      </c>
      <c r="F27" s="131">
        <v>0.2</v>
      </c>
      <c r="G27" s="131">
        <v>0.2</v>
      </c>
      <c r="H27" s="5" t="s">
        <v>689</v>
      </c>
      <c r="I27" s="5" t="s">
        <v>598</v>
      </c>
      <c r="J27" s="6">
        <v>0</v>
      </c>
      <c r="K27" t="str">
        <f t="shared" si="0"/>
        <v>RPA</v>
      </c>
      <c r="L27" s="9">
        <v>25</v>
      </c>
      <c r="M27">
        <v>24</v>
      </c>
      <c r="N27">
        <v>29</v>
      </c>
      <c r="O27">
        <f t="shared" si="1"/>
        <v>1</v>
      </c>
      <c r="P27">
        <f t="shared" si="2"/>
        <v>4</v>
      </c>
      <c r="Q27">
        <v>14</v>
      </c>
      <c r="R27">
        <v>20</v>
      </c>
      <c r="S27" s="9" t="e">
        <v>#N/A</v>
      </c>
      <c r="T27" s="9" t="e">
        <v>#N/A</v>
      </c>
      <c r="U27" s="9" t="e">
        <f t="shared" si="3"/>
        <v>#N/A</v>
      </c>
      <c r="V27" s="9" t="e">
        <f t="shared" si="4"/>
        <v>#N/A</v>
      </c>
      <c r="W27">
        <v>80</v>
      </c>
      <c r="X27">
        <v>65</v>
      </c>
      <c r="Y27">
        <f>IF('CEA Summary'!$O$4=2, L27, IF('CEA Summary'!$O$4=1,R27))</f>
        <v>25</v>
      </c>
      <c r="Z27" s="40">
        <f>IF('CEA Summary'!$O$4=2, O27, IF('CEA Summary'!$O$4=1, U27))</f>
        <v>1</v>
      </c>
      <c r="AA27" s="40">
        <f>IF('CEA Summary'!$O$4=2, P27, IF('CEA Summary'!$O$4=1, V27))</f>
        <v>4</v>
      </c>
      <c r="AB27" s="40">
        <f>IF('CEA Summary'!$O$4=2, Q27, IF('CEA Summary'!$O$4=1, W27))</f>
        <v>14</v>
      </c>
      <c r="AH27" s="156"/>
      <c r="AI27" s="157"/>
      <c r="AJ27" s="155"/>
      <c r="AK27" s="136"/>
    </row>
    <row r="28" spans="1:37" x14ac:dyDescent="0.25">
      <c r="A28" s="5" t="s">
        <v>17</v>
      </c>
      <c r="B28" s="74" t="s">
        <v>339</v>
      </c>
      <c r="C28" s="5">
        <v>58</v>
      </c>
      <c r="D28" s="5">
        <v>57</v>
      </c>
      <c r="E28" s="131">
        <v>0.76</v>
      </c>
      <c r="F28" s="131">
        <v>0.53</v>
      </c>
      <c r="G28" s="131">
        <v>0.72</v>
      </c>
      <c r="H28" s="5" t="s">
        <v>664</v>
      </c>
      <c r="I28" s="5" t="s">
        <v>197</v>
      </c>
      <c r="J28" s="6">
        <v>1.7000000000000001E-2</v>
      </c>
      <c r="K28" t="str">
        <f t="shared" si="0"/>
        <v>RAJ</v>
      </c>
      <c r="L28" s="9">
        <v>11</v>
      </c>
      <c r="M28">
        <v>7</v>
      </c>
      <c r="N28">
        <v>16</v>
      </c>
      <c r="O28">
        <f t="shared" si="1"/>
        <v>4</v>
      </c>
      <c r="P28">
        <f t="shared" si="2"/>
        <v>5</v>
      </c>
      <c r="Q28">
        <v>14</v>
      </c>
      <c r="R28">
        <v>72</v>
      </c>
      <c r="S28" s="9">
        <v>58.45711</v>
      </c>
      <c r="T28" s="9">
        <v>83.027079999999998</v>
      </c>
      <c r="U28" s="9">
        <f t="shared" si="3"/>
        <v>13.54289</v>
      </c>
      <c r="V28" s="9">
        <f t="shared" si="4"/>
        <v>11.027079999999998</v>
      </c>
      <c r="W28">
        <v>80</v>
      </c>
      <c r="X28">
        <v>16</v>
      </c>
      <c r="Y28">
        <f>IF('CEA Summary'!$O$4=2, L28, IF('CEA Summary'!$O$4=1,R28))</f>
        <v>11</v>
      </c>
      <c r="Z28" s="40">
        <f>IF('CEA Summary'!$O$4=2, O28, IF('CEA Summary'!$O$4=1, U28))</f>
        <v>4</v>
      </c>
      <c r="AA28" s="40">
        <f>IF('CEA Summary'!$O$4=2, P28, IF('CEA Summary'!$O$4=1, V28))</f>
        <v>5</v>
      </c>
      <c r="AB28" s="40">
        <f>IF('CEA Summary'!$O$4=2, Q28, IF('CEA Summary'!$O$4=1, W28))</f>
        <v>14</v>
      </c>
      <c r="AH28" s="156"/>
      <c r="AI28" s="157"/>
      <c r="AJ28" s="155"/>
      <c r="AK28" s="136"/>
    </row>
    <row r="29" spans="1:37" x14ac:dyDescent="0.25">
      <c r="A29" s="5" t="s">
        <v>83</v>
      </c>
      <c r="B29" s="74" t="s">
        <v>84</v>
      </c>
      <c r="C29" s="5">
        <v>72</v>
      </c>
      <c r="D29" s="5">
        <v>66</v>
      </c>
      <c r="E29" s="131">
        <v>0.8</v>
      </c>
      <c r="F29" s="131">
        <v>0.21</v>
      </c>
      <c r="G29" s="131">
        <v>0.56000000000000005</v>
      </c>
      <c r="H29" s="5" t="s">
        <v>372</v>
      </c>
      <c r="I29" s="5" t="s">
        <v>187</v>
      </c>
      <c r="J29" s="6">
        <v>3.2000000000000001E-2</v>
      </c>
      <c r="K29" t="str">
        <f t="shared" si="0"/>
        <v>RTD</v>
      </c>
      <c r="L29" s="9">
        <v>14</v>
      </c>
      <c r="M29">
        <v>10</v>
      </c>
      <c r="N29">
        <v>21</v>
      </c>
      <c r="O29">
        <f t="shared" si="1"/>
        <v>4</v>
      </c>
      <c r="P29">
        <f t="shared" si="2"/>
        <v>7</v>
      </c>
      <c r="Q29">
        <v>14</v>
      </c>
      <c r="R29">
        <v>56.000000000000007</v>
      </c>
      <c r="S29" s="9">
        <v>43.296120000000002</v>
      </c>
      <c r="T29" s="9">
        <v>68.263410000000007</v>
      </c>
      <c r="U29" s="9">
        <f t="shared" si="3"/>
        <v>12.703880000000005</v>
      </c>
      <c r="V29" s="9">
        <f t="shared" si="4"/>
        <v>12.26341</v>
      </c>
      <c r="W29">
        <v>80</v>
      </c>
      <c r="X29">
        <v>35</v>
      </c>
      <c r="Y29">
        <f>IF('CEA Summary'!$O$4=2, L29, IF('CEA Summary'!$O$4=1,R29))</f>
        <v>14</v>
      </c>
      <c r="Z29" s="40">
        <f>IF('CEA Summary'!$O$4=2, O29, IF('CEA Summary'!$O$4=1, U29))</f>
        <v>4</v>
      </c>
      <c r="AA29" s="40">
        <f>IF('CEA Summary'!$O$4=2, P29, IF('CEA Summary'!$O$4=1, V29))</f>
        <v>7</v>
      </c>
      <c r="AB29" s="40">
        <f>IF('CEA Summary'!$O$4=2, Q29, IF('CEA Summary'!$O$4=1, W29))</f>
        <v>14</v>
      </c>
      <c r="AH29" s="156"/>
      <c r="AI29" s="157"/>
      <c r="AJ29" s="155"/>
      <c r="AK29" s="136"/>
    </row>
    <row r="30" spans="1:37" x14ac:dyDescent="0.25">
      <c r="A30" s="5" t="s">
        <v>379</v>
      </c>
      <c r="B30" s="74" t="s">
        <v>380</v>
      </c>
      <c r="C30" s="5">
        <v>13</v>
      </c>
      <c r="D30" s="5">
        <v>13</v>
      </c>
      <c r="E30" s="131">
        <v>0.62</v>
      </c>
      <c r="F30" s="131">
        <v>0</v>
      </c>
      <c r="G30" s="131">
        <v>0.08</v>
      </c>
      <c r="H30" s="5" t="s">
        <v>711</v>
      </c>
      <c r="I30" s="5" t="s">
        <v>189</v>
      </c>
      <c r="J30" s="6">
        <v>1.7000000000000001E-2</v>
      </c>
      <c r="K30" t="str">
        <f t="shared" si="0"/>
        <v>SY999</v>
      </c>
      <c r="L30" s="9">
        <v>43</v>
      </c>
      <c r="M30">
        <v>23</v>
      </c>
      <c r="N30">
        <v>64</v>
      </c>
      <c r="O30">
        <f t="shared" si="1"/>
        <v>20</v>
      </c>
      <c r="P30">
        <f t="shared" si="2"/>
        <v>21</v>
      </c>
      <c r="Q30">
        <v>14</v>
      </c>
      <c r="R30">
        <v>8</v>
      </c>
      <c r="S30" s="9">
        <v>0.19456000000000001</v>
      </c>
      <c r="T30" s="9">
        <v>36.029739999999997</v>
      </c>
      <c r="U30" s="9">
        <f t="shared" si="3"/>
        <v>7.8054399999999999</v>
      </c>
      <c r="V30" s="9">
        <f t="shared" si="4"/>
        <v>28.029739999999997</v>
      </c>
      <c r="W30">
        <v>80</v>
      </c>
      <c r="X30">
        <v>67</v>
      </c>
      <c r="Y30">
        <f>IF('CEA Summary'!$O$4=2, L30, IF('CEA Summary'!$O$4=1,R30))</f>
        <v>43</v>
      </c>
      <c r="Z30" s="40">
        <f>IF('CEA Summary'!$O$4=2, O30, IF('CEA Summary'!$O$4=1, U30))</f>
        <v>20</v>
      </c>
      <c r="AA30" s="40">
        <f>IF('CEA Summary'!$O$4=2, P30, IF('CEA Summary'!$O$4=1, V30))</f>
        <v>21</v>
      </c>
      <c r="AB30" s="40">
        <f>IF('CEA Summary'!$O$4=2, Q30, IF('CEA Summary'!$O$4=1, W30))</f>
        <v>14</v>
      </c>
      <c r="AH30" s="156"/>
      <c r="AI30" s="157"/>
      <c r="AJ30" s="155"/>
      <c r="AK30" s="136"/>
    </row>
    <row r="31" spans="1:37" x14ac:dyDescent="0.25">
      <c r="A31" s="5" t="s">
        <v>129</v>
      </c>
      <c r="B31" s="74" t="s">
        <v>130</v>
      </c>
      <c r="C31" s="5">
        <v>9</v>
      </c>
      <c r="D31" s="5">
        <v>9</v>
      </c>
      <c r="E31" s="131">
        <v>0.5</v>
      </c>
      <c r="F31" s="131">
        <v>0.89</v>
      </c>
      <c r="G31" s="131">
        <v>0.5</v>
      </c>
      <c r="H31" s="5" t="s">
        <v>708</v>
      </c>
      <c r="I31" s="5" t="s">
        <v>183</v>
      </c>
      <c r="J31" s="6">
        <v>0</v>
      </c>
      <c r="K31" t="str">
        <f t="shared" si="0"/>
        <v>SN999</v>
      </c>
      <c r="L31" s="9">
        <v>14</v>
      </c>
      <c r="M31">
        <v>6</v>
      </c>
      <c r="N31">
        <v>37</v>
      </c>
      <c r="O31">
        <f t="shared" si="1"/>
        <v>8</v>
      </c>
      <c r="P31">
        <f t="shared" si="2"/>
        <v>23</v>
      </c>
      <c r="Q31">
        <v>14</v>
      </c>
      <c r="R31">
        <v>50</v>
      </c>
      <c r="S31" s="9" t="e">
        <v>#N/A</v>
      </c>
      <c r="T31" s="9" t="e">
        <v>#N/A</v>
      </c>
      <c r="U31" s="9" t="e">
        <f t="shared" si="3"/>
        <v>#N/A</v>
      </c>
      <c r="V31" s="9" t="e">
        <f t="shared" si="4"/>
        <v>#N/A</v>
      </c>
      <c r="W31">
        <v>80</v>
      </c>
      <c r="X31">
        <v>39</v>
      </c>
      <c r="Y31">
        <f>IF('CEA Summary'!$O$4=2, L31, IF('CEA Summary'!$O$4=1,R31))</f>
        <v>14</v>
      </c>
      <c r="Z31" s="40">
        <f>IF('CEA Summary'!$O$4=2, O31, IF('CEA Summary'!$O$4=1, U31))</f>
        <v>8</v>
      </c>
      <c r="AA31" s="40">
        <f>IF('CEA Summary'!$O$4=2, P31, IF('CEA Summary'!$O$4=1, V31))</f>
        <v>23</v>
      </c>
      <c r="AB31" s="40">
        <f>IF('CEA Summary'!$O$4=2, Q31, IF('CEA Summary'!$O$4=1, W31))</f>
        <v>14</v>
      </c>
      <c r="AH31" s="156"/>
      <c r="AI31" s="157"/>
      <c r="AJ31" s="155"/>
      <c r="AK31" s="136"/>
    </row>
    <row r="32" spans="1:37" x14ac:dyDescent="0.25">
      <c r="A32" s="5" t="s">
        <v>123</v>
      </c>
      <c r="B32" s="74" t="s">
        <v>124</v>
      </c>
      <c r="C32" s="5">
        <v>46</v>
      </c>
      <c r="D32" s="5">
        <v>46</v>
      </c>
      <c r="E32" s="131">
        <v>0.84</v>
      </c>
      <c r="F32" s="131">
        <v>0.61</v>
      </c>
      <c r="G32" s="131">
        <v>0.76</v>
      </c>
      <c r="H32" s="5" t="s">
        <v>375</v>
      </c>
      <c r="I32" s="5" t="s">
        <v>705</v>
      </c>
      <c r="J32" s="6">
        <v>0</v>
      </c>
      <c r="K32" t="str">
        <f t="shared" si="0"/>
        <v>SG999</v>
      </c>
      <c r="L32" s="9">
        <v>10</v>
      </c>
      <c r="M32">
        <v>7</v>
      </c>
      <c r="N32">
        <v>13</v>
      </c>
      <c r="O32">
        <f t="shared" si="1"/>
        <v>3</v>
      </c>
      <c r="P32">
        <f t="shared" si="2"/>
        <v>3</v>
      </c>
      <c r="Q32">
        <v>14</v>
      </c>
      <c r="R32">
        <v>76</v>
      </c>
      <c r="S32" s="9">
        <v>61.233110000000003</v>
      </c>
      <c r="T32" s="9">
        <v>87.41386</v>
      </c>
      <c r="U32" s="9">
        <f t="shared" si="3"/>
        <v>14.766889999999997</v>
      </c>
      <c r="V32" s="9">
        <f t="shared" si="4"/>
        <v>11.41386</v>
      </c>
      <c r="W32">
        <v>80</v>
      </c>
      <c r="X32">
        <v>9</v>
      </c>
      <c r="Y32">
        <f>IF('CEA Summary'!$O$4=2, L32, IF('CEA Summary'!$O$4=1,R32))</f>
        <v>10</v>
      </c>
      <c r="Z32" s="40">
        <f>IF('CEA Summary'!$O$4=2, O32, IF('CEA Summary'!$O$4=1, U32))</f>
        <v>3</v>
      </c>
      <c r="AA32" s="40">
        <f>IF('CEA Summary'!$O$4=2, P32, IF('CEA Summary'!$O$4=1, V32))</f>
        <v>3</v>
      </c>
      <c r="AB32" s="40">
        <f>IF('CEA Summary'!$O$4=2, Q32, IF('CEA Summary'!$O$4=1, W32))</f>
        <v>14</v>
      </c>
      <c r="AH32" s="156"/>
      <c r="AI32" s="157"/>
      <c r="AJ32" s="155"/>
      <c r="AK32" s="136"/>
    </row>
    <row r="33" spans="1:37" x14ac:dyDescent="0.25">
      <c r="A33" s="5" t="s">
        <v>125</v>
      </c>
      <c r="B33" s="74" t="s">
        <v>126</v>
      </c>
      <c r="C33" s="5">
        <v>17</v>
      </c>
      <c r="D33" s="5">
        <v>17</v>
      </c>
      <c r="E33" s="131">
        <v>0.59</v>
      </c>
      <c r="F33" s="131">
        <v>0.18</v>
      </c>
      <c r="G33" s="131">
        <v>0.35</v>
      </c>
      <c r="H33" s="5" t="s">
        <v>706</v>
      </c>
      <c r="I33" s="5" t="s">
        <v>168</v>
      </c>
      <c r="J33" s="6">
        <v>0</v>
      </c>
      <c r="K33" t="str">
        <f t="shared" si="0"/>
        <v>SH999</v>
      </c>
      <c r="L33" s="9">
        <v>19</v>
      </c>
      <c r="M33">
        <v>12</v>
      </c>
      <c r="N33">
        <v>27</v>
      </c>
      <c r="O33">
        <f t="shared" si="1"/>
        <v>7</v>
      </c>
      <c r="P33">
        <f t="shared" si="2"/>
        <v>8</v>
      </c>
      <c r="Q33">
        <v>14</v>
      </c>
      <c r="R33">
        <v>35</v>
      </c>
      <c r="S33" s="9">
        <v>14.20975</v>
      </c>
      <c r="T33" s="9">
        <v>61.67163</v>
      </c>
      <c r="U33" s="9">
        <f t="shared" si="3"/>
        <v>20.79025</v>
      </c>
      <c r="V33" s="9">
        <f t="shared" si="4"/>
        <v>26.67163</v>
      </c>
      <c r="W33">
        <v>80</v>
      </c>
      <c r="X33">
        <v>53</v>
      </c>
      <c r="Y33">
        <f>IF('CEA Summary'!$O$4=2, L33, IF('CEA Summary'!$O$4=1,R33))</f>
        <v>19</v>
      </c>
      <c r="Z33" s="40">
        <f>IF('CEA Summary'!$O$4=2, O33, IF('CEA Summary'!$O$4=1, U33))</f>
        <v>7</v>
      </c>
      <c r="AA33" s="40">
        <f>IF('CEA Summary'!$O$4=2, P33, IF('CEA Summary'!$O$4=1, V33))</f>
        <v>8</v>
      </c>
      <c r="AB33" s="40">
        <f>IF('CEA Summary'!$O$4=2, Q33, IF('CEA Summary'!$O$4=1, W33))</f>
        <v>14</v>
      </c>
      <c r="AH33" s="156"/>
      <c r="AI33" s="157"/>
      <c r="AJ33" s="155"/>
      <c r="AK33" s="136"/>
    </row>
    <row r="34" spans="1:37" x14ac:dyDescent="0.25">
      <c r="A34" s="5" t="s">
        <v>127</v>
      </c>
      <c r="B34" s="74" t="s">
        <v>128</v>
      </c>
      <c r="C34" s="5">
        <v>39</v>
      </c>
      <c r="D34" s="5">
        <v>39</v>
      </c>
      <c r="E34" s="131">
        <v>0.74</v>
      </c>
      <c r="F34" s="131">
        <v>0.31</v>
      </c>
      <c r="G34" s="131">
        <v>0.41</v>
      </c>
      <c r="H34" s="5" t="s">
        <v>707</v>
      </c>
      <c r="I34" s="5" t="s">
        <v>187</v>
      </c>
      <c r="J34" s="6">
        <v>0.02</v>
      </c>
      <c r="K34" t="str">
        <f t="shared" ref="K34:K70" si="5">A34</f>
        <v>SL999</v>
      </c>
      <c r="L34" s="9">
        <v>15</v>
      </c>
      <c r="M34">
        <v>12</v>
      </c>
      <c r="N34">
        <v>26</v>
      </c>
      <c r="O34">
        <f t="shared" ref="O34:O70" si="6">L34-M34</f>
        <v>3</v>
      </c>
      <c r="P34">
        <f t="shared" ref="P34:P70" si="7">N34-L34</f>
        <v>11</v>
      </c>
      <c r="Q34">
        <v>14</v>
      </c>
      <c r="R34">
        <v>41</v>
      </c>
      <c r="S34" s="9">
        <v>25.566780000000001</v>
      </c>
      <c r="T34" s="9">
        <v>57.900130000000004</v>
      </c>
      <c r="U34" s="9">
        <f t="shared" ref="U34:U70" si="8">R34-S34</f>
        <v>15.433219999999999</v>
      </c>
      <c r="V34" s="9">
        <f t="shared" ref="V34:V70" si="9">T34-R34</f>
        <v>16.900130000000004</v>
      </c>
      <c r="W34">
        <v>80</v>
      </c>
      <c r="X34">
        <v>41</v>
      </c>
      <c r="Y34">
        <f>IF('CEA Summary'!$O$4=2, L34, IF('CEA Summary'!$O$4=1,R34))</f>
        <v>15</v>
      </c>
      <c r="Z34" s="40">
        <f>IF('CEA Summary'!$O$4=2, O34, IF('CEA Summary'!$O$4=1, U34))</f>
        <v>3</v>
      </c>
      <c r="AA34" s="40">
        <f>IF('CEA Summary'!$O$4=2, P34, IF('CEA Summary'!$O$4=1, V34))</f>
        <v>11</v>
      </c>
      <c r="AB34" s="40">
        <f>IF('CEA Summary'!$O$4=2, Q34, IF('CEA Summary'!$O$4=1, W34))</f>
        <v>14</v>
      </c>
      <c r="AH34" s="156"/>
      <c r="AI34" s="157"/>
      <c r="AJ34" s="155"/>
      <c r="AK34" s="136"/>
    </row>
    <row r="35" spans="1:37" x14ac:dyDescent="0.25">
      <c r="A35" s="5" t="s">
        <v>131</v>
      </c>
      <c r="B35" s="74" t="s">
        <v>132</v>
      </c>
      <c r="C35" s="5">
        <v>23</v>
      </c>
      <c r="D35" s="5">
        <v>23</v>
      </c>
      <c r="E35" s="131">
        <v>0.78</v>
      </c>
      <c r="F35" s="131">
        <v>0.56999999999999995</v>
      </c>
      <c r="G35" s="131">
        <v>0.74</v>
      </c>
      <c r="H35" s="5" t="s">
        <v>709</v>
      </c>
      <c r="I35" s="5" t="s">
        <v>409</v>
      </c>
      <c r="J35" s="6">
        <v>1.0999999999999999E-2</v>
      </c>
      <c r="K35" t="str">
        <f t="shared" si="5"/>
        <v>SS999</v>
      </c>
      <c r="L35" s="9">
        <v>11</v>
      </c>
      <c r="M35">
        <v>10</v>
      </c>
      <c r="N35">
        <v>15</v>
      </c>
      <c r="O35">
        <f t="shared" si="6"/>
        <v>1</v>
      </c>
      <c r="P35">
        <f t="shared" si="7"/>
        <v>4</v>
      </c>
      <c r="Q35">
        <v>14</v>
      </c>
      <c r="R35">
        <v>74</v>
      </c>
      <c r="S35" s="9">
        <v>51.594810000000003</v>
      </c>
      <c r="T35" s="9">
        <v>89.771379999999994</v>
      </c>
      <c r="U35" s="9">
        <f t="shared" si="8"/>
        <v>22.405189999999997</v>
      </c>
      <c r="V35" s="9">
        <f t="shared" si="9"/>
        <v>15.771379999999994</v>
      </c>
      <c r="W35">
        <v>80</v>
      </c>
      <c r="X35">
        <v>15</v>
      </c>
      <c r="Y35">
        <f>IF('CEA Summary'!$O$4=2, L35, IF('CEA Summary'!$O$4=1,R35))</f>
        <v>11</v>
      </c>
      <c r="Z35" s="40">
        <f>IF('CEA Summary'!$O$4=2, O35, IF('CEA Summary'!$O$4=1, U35))</f>
        <v>1</v>
      </c>
      <c r="AA35" s="40">
        <f>IF('CEA Summary'!$O$4=2, P35, IF('CEA Summary'!$O$4=1, V35))</f>
        <v>4</v>
      </c>
      <c r="AB35" s="40">
        <f>IF('CEA Summary'!$O$4=2, Q35, IF('CEA Summary'!$O$4=1, W35))</f>
        <v>14</v>
      </c>
      <c r="AH35" s="156"/>
      <c r="AI35" s="157"/>
      <c r="AJ35" s="155"/>
      <c r="AK35" s="136"/>
    </row>
    <row r="36" spans="1:37" x14ac:dyDescent="0.25">
      <c r="A36" s="5" t="s">
        <v>133</v>
      </c>
      <c r="B36" s="74" t="s">
        <v>134</v>
      </c>
      <c r="C36" s="5">
        <v>29</v>
      </c>
      <c r="D36" s="5">
        <v>28</v>
      </c>
      <c r="E36" s="131">
        <v>0.67</v>
      </c>
      <c r="F36" s="131">
        <v>0.34</v>
      </c>
      <c r="G36" s="131">
        <v>0.54</v>
      </c>
      <c r="H36" s="5" t="s">
        <v>710</v>
      </c>
      <c r="I36" s="5" t="s">
        <v>168</v>
      </c>
      <c r="J36" s="6">
        <v>2.1999999999999999E-2</v>
      </c>
      <c r="K36" t="str">
        <f t="shared" si="5"/>
        <v>ST999</v>
      </c>
      <c r="L36" s="9">
        <v>14</v>
      </c>
      <c r="M36">
        <v>11</v>
      </c>
      <c r="N36">
        <v>18</v>
      </c>
      <c r="O36">
        <f t="shared" si="6"/>
        <v>3</v>
      </c>
      <c r="P36">
        <f t="shared" si="7"/>
        <v>4</v>
      </c>
      <c r="Q36">
        <v>14</v>
      </c>
      <c r="R36">
        <v>54</v>
      </c>
      <c r="S36" s="9">
        <v>33.869909999999997</v>
      </c>
      <c r="T36" s="9">
        <v>72.489139999999992</v>
      </c>
      <c r="U36" s="9">
        <f t="shared" si="8"/>
        <v>20.130090000000003</v>
      </c>
      <c r="V36" s="9">
        <f t="shared" si="9"/>
        <v>18.489139999999992</v>
      </c>
      <c r="W36">
        <v>80</v>
      </c>
      <c r="X36">
        <v>31</v>
      </c>
      <c r="Y36">
        <f>IF('CEA Summary'!$O$4=2, L36, IF('CEA Summary'!$O$4=1,R36))</f>
        <v>14</v>
      </c>
      <c r="Z36" s="40">
        <f>IF('CEA Summary'!$O$4=2, O36, IF('CEA Summary'!$O$4=1, U36))</f>
        <v>3</v>
      </c>
      <c r="AA36" s="40">
        <f>IF('CEA Summary'!$O$4=2, P36, IF('CEA Summary'!$O$4=1, V36))</f>
        <v>4</v>
      </c>
      <c r="AB36" s="40">
        <f>IF('CEA Summary'!$O$4=2, Q36, IF('CEA Summary'!$O$4=1, W36))</f>
        <v>14</v>
      </c>
      <c r="AH36" s="156"/>
      <c r="AI36" s="157"/>
      <c r="AJ36" s="155"/>
      <c r="AK36" s="136"/>
    </row>
    <row r="37" spans="1:37" x14ac:dyDescent="0.25">
      <c r="A37" s="5" t="s">
        <v>60</v>
      </c>
      <c r="B37" s="74" t="s">
        <v>61</v>
      </c>
      <c r="C37" s="5">
        <v>52</v>
      </c>
      <c r="D37" s="5">
        <v>39</v>
      </c>
      <c r="E37" s="131">
        <v>0.79</v>
      </c>
      <c r="F37" s="131">
        <v>0.5</v>
      </c>
      <c r="G37" s="131">
        <v>0.74</v>
      </c>
      <c r="H37" s="5" t="s">
        <v>308</v>
      </c>
      <c r="I37" s="5" t="s">
        <v>187</v>
      </c>
      <c r="J37" s="6">
        <v>3.7999999999999999E-2</v>
      </c>
      <c r="K37" t="str">
        <f t="shared" si="5"/>
        <v>RM1</v>
      </c>
      <c r="L37" s="9">
        <v>9</v>
      </c>
      <c r="M37">
        <v>6</v>
      </c>
      <c r="N37">
        <v>15</v>
      </c>
      <c r="O37">
        <f t="shared" si="6"/>
        <v>3</v>
      </c>
      <c r="P37">
        <f t="shared" si="7"/>
        <v>6</v>
      </c>
      <c r="Q37">
        <v>14</v>
      </c>
      <c r="R37">
        <v>74</v>
      </c>
      <c r="S37" s="9">
        <v>57.872610000000002</v>
      </c>
      <c r="T37" s="9">
        <v>86.962320000000005</v>
      </c>
      <c r="U37" s="9">
        <f t="shared" si="8"/>
        <v>16.127389999999998</v>
      </c>
      <c r="V37" s="9">
        <f t="shared" si="9"/>
        <v>12.962320000000005</v>
      </c>
      <c r="W37">
        <v>80</v>
      </c>
      <c r="X37">
        <v>5</v>
      </c>
      <c r="Y37">
        <f>IF('CEA Summary'!$O$4=2, L37, IF('CEA Summary'!$O$4=1,R37))</f>
        <v>9</v>
      </c>
      <c r="Z37" s="40">
        <f>IF('CEA Summary'!$O$4=2, O37, IF('CEA Summary'!$O$4=1, U37))</f>
        <v>3</v>
      </c>
      <c r="AA37" s="40">
        <f>IF('CEA Summary'!$O$4=2, P37, IF('CEA Summary'!$O$4=1, V37))</f>
        <v>6</v>
      </c>
      <c r="AB37" s="40">
        <f>IF('CEA Summary'!$O$4=2, Q37, IF('CEA Summary'!$O$4=1, W37))</f>
        <v>14</v>
      </c>
      <c r="AH37" s="156"/>
      <c r="AI37" s="157"/>
      <c r="AJ37" s="155"/>
      <c r="AK37" s="136"/>
    </row>
    <row r="38" spans="1:37" x14ac:dyDescent="0.25">
      <c r="A38" s="5" t="s">
        <v>92</v>
      </c>
      <c r="B38" s="74" t="s">
        <v>93</v>
      </c>
      <c r="C38" s="5">
        <v>70</v>
      </c>
      <c r="D38" s="5">
        <v>70</v>
      </c>
      <c r="E38" s="131">
        <v>0.86</v>
      </c>
      <c r="F38" s="131">
        <v>0.5</v>
      </c>
      <c r="G38" s="131">
        <v>0.73</v>
      </c>
      <c r="H38" s="5" t="s">
        <v>373</v>
      </c>
      <c r="I38" s="5" t="s">
        <v>187</v>
      </c>
      <c r="J38" s="6">
        <v>3.5999999999999997E-2</v>
      </c>
      <c r="K38" t="str">
        <f t="shared" si="5"/>
        <v>RVJ</v>
      </c>
      <c r="L38" s="9">
        <v>11</v>
      </c>
      <c r="M38">
        <v>8</v>
      </c>
      <c r="N38">
        <v>16</v>
      </c>
      <c r="O38">
        <f t="shared" si="6"/>
        <v>3</v>
      </c>
      <c r="P38">
        <f t="shared" si="7"/>
        <v>5</v>
      </c>
      <c r="Q38">
        <v>14</v>
      </c>
      <c r="R38">
        <v>73</v>
      </c>
      <c r="S38" s="9">
        <v>60.90202</v>
      </c>
      <c r="T38" s="9">
        <v>82.800879999999992</v>
      </c>
      <c r="U38" s="9">
        <f t="shared" si="8"/>
        <v>12.09798</v>
      </c>
      <c r="V38" s="9">
        <f t="shared" si="9"/>
        <v>9.8008799999999923</v>
      </c>
      <c r="W38">
        <v>80</v>
      </c>
      <c r="X38">
        <v>17</v>
      </c>
      <c r="Y38">
        <f>IF('CEA Summary'!$O$4=2, L38, IF('CEA Summary'!$O$4=1,R38))</f>
        <v>11</v>
      </c>
      <c r="Z38" s="40">
        <f>IF('CEA Summary'!$O$4=2, O38, IF('CEA Summary'!$O$4=1, U38))</f>
        <v>3</v>
      </c>
      <c r="AA38" s="40">
        <f>IF('CEA Summary'!$O$4=2, P38, IF('CEA Summary'!$O$4=1, V38))</f>
        <v>5</v>
      </c>
      <c r="AB38" s="40">
        <f>IF('CEA Summary'!$O$4=2, Q38, IF('CEA Summary'!$O$4=1, W38))</f>
        <v>14</v>
      </c>
      <c r="AH38" s="156"/>
      <c r="AI38" s="157"/>
      <c r="AJ38" s="155"/>
      <c r="AK38" s="136"/>
    </row>
    <row r="39" spans="1:37" x14ac:dyDescent="0.25">
      <c r="A39" s="5" t="s">
        <v>433</v>
      </c>
      <c r="B39" s="74" t="s">
        <v>353</v>
      </c>
      <c r="C39" s="5">
        <v>32</v>
      </c>
      <c r="D39" s="5">
        <v>26</v>
      </c>
      <c r="E39" s="131">
        <v>0.81</v>
      </c>
      <c r="F39" s="131">
        <v>0.69</v>
      </c>
      <c r="G39" s="131">
        <v>0.77</v>
      </c>
      <c r="H39" s="5" t="s">
        <v>686</v>
      </c>
      <c r="I39" s="5" t="s">
        <v>171</v>
      </c>
      <c r="J39" s="6">
        <v>8.9999999999999993E-3</v>
      </c>
      <c r="K39" t="str">
        <f t="shared" si="5"/>
        <v>RNN</v>
      </c>
      <c r="L39" s="9">
        <v>10</v>
      </c>
      <c r="M39">
        <v>6</v>
      </c>
      <c r="N39">
        <v>13</v>
      </c>
      <c r="O39">
        <f t="shared" si="6"/>
        <v>4</v>
      </c>
      <c r="P39">
        <f t="shared" si="7"/>
        <v>3</v>
      </c>
      <c r="Q39">
        <v>14</v>
      </c>
      <c r="R39">
        <v>77</v>
      </c>
      <c r="S39" s="9">
        <v>56.352490000000003</v>
      </c>
      <c r="T39" s="9">
        <v>91.025990000000007</v>
      </c>
      <c r="U39" s="9">
        <f t="shared" si="8"/>
        <v>20.647509999999997</v>
      </c>
      <c r="V39" s="9">
        <f t="shared" si="9"/>
        <v>14.025990000000007</v>
      </c>
      <c r="W39">
        <v>80</v>
      </c>
      <c r="X39">
        <v>7</v>
      </c>
      <c r="Y39">
        <f>IF('CEA Summary'!$O$4=2, L39, IF('CEA Summary'!$O$4=1,R39))</f>
        <v>10</v>
      </c>
      <c r="Z39" s="40">
        <f>IF('CEA Summary'!$O$4=2, O39, IF('CEA Summary'!$O$4=1, U39))</f>
        <v>4</v>
      </c>
      <c r="AA39" s="40">
        <f>IF('CEA Summary'!$O$4=2, P39, IF('CEA Summary'!$O$4=1, V39))</f>
        <v>3</v>
      </c>
      <c r="AB39" s="40">
        <f>IF('CEA Summary'!$O$4=2, Q39, IF('CEA Summary'!$O$4=1, W39))</f>
        <v>14</v>
      </c>
      <c r="AH39" s="156"/>
      <c r="AI39" s="157"/>
      <c r="AJ39" s="155"/>
      <c r="AK39" s="136"/>
    </row>
    <row r="40" spans="1:37" x14ac:dyDescent="0.25">
      <c r="A40" s="5" t="s">
        <v>66</v>
      </c>
      <c r="B40" s="74" t="s">
        <v>67</v>
      </c>
      <c r="C40" s="5">
        <v>45</v>
      </c>
      <c r="D40" s="5">
        <v>42</v>
      </c>
      <c r="E40" s="131">
        <v>0.66</v>
      </c>
      <c r="F40" s="131">
        <v>0.36</v>
      </c>
      <c r="G40" s="131">
        <v>0.38</v>
      </c>
      <c r="H40" s="5" t="s">
        <v>687</v>
      </c>
      <c r="I40" s="5" t="s">
        <v>189</v>
      </c>
      <c r="J40" s="6">
        <v>0.01</v>
      </c>
      <c r="K40" t="str">
        <f t="shared" si="5"/>
        <v>RNS</v>
      </c>
      <c r="L40" s="9">
        <v>18</v>
      </c>
      <c r="M40">
        <v>10</v>
      </c>
      <c r="N40">
        <v>39</v>
      </c>
      <c r="O40">
        <f t="shared" si="6"/>
        <v>8</v>
      </c>
      <c r="P40">
        <f t="shared" si="7"/>
        <v>21</v>
      </c>
      <c r="Q40">
        <v>14</v>
      </c>
      <c r="R40">
        <v>38</v>
      </c>
      <c r="S40" s="9">
        <v>23.572050000000001</v>
      </c>
      <c r="T40" s="9">
        <v>54.363249999999994</v>
      </c>
      <c r="U40" s="9">
        <f t="shared" si="8"/>
        <v>14.427949999999999</v>
      </c>
      <c r="V40" s="9">
        <f t="shared" si="9"/>
        <v>16.363249999999994</v>
      </c>
      <c r="W40">
        <v>80</v>
      </c>
      <c r="X40">
        <v>51</v>
      </c>
      <c r="Y40">
        <f>IF('CEA Summary'!$O$4=2, L40, IF('CEA Summary'!$O$4=1,R40))</f>
        <v>18</v>
      </c>
      <c r="Z40" s="40">
        <f>IF('CEA Summary'!$O$4=2, O40, IF('CEA Summary'!$O$4=1, U40))</f>
        <v>8</v>
      </c>
      <c r="AA40" s="40">
        <f>IF('CEA Summary'!$O$4=2, P40, IF('CEA Summary'!$O$4=1, V40))</f>
        <v>21</v>
      </c>
      <c r="AB40" s="40">
        <f>IF('CEA Summary'!$O$4=2, Q40, IF('CEA Summary'!$O$4=1, W40))</f>
        <v>14</v>
      </c>
      <c r="AH40" s="156"/>
      <c r="AI40" s="157"/>
      <c r="AJ40" s="155"/>
      <c r="AK40" s="136"/>
    </row>
    <row r="41" spans="1:37" x14ac:dyDescent="0.25">
      <c r="A41" s="5" t="s">
        <v>429</v>
      </c>
      <c r="B41" s="74" t="s">
        <v>430</v>
      </c>
      <c r="C41" s="5">
        <v>67</v>
      </c>
      <c r="D41" s="5">
        <v>48</v>
      </c>
      <c r="E41" s="131">
        <v>0.54</v>
      </c>
      <c r="F41" s="131">
        <v>0.33</v>
      </c>
      <c r="G41" s="131">
        <v>0.4</v>
      </c>
      <c r="H41" s="5" t="s">
        <v>684</v>
      </c>
      <c r="I41" s="5" t="s">
        <v>186</v>
      </c>
      <c r="J41" s="6">
        <v>1.2999999999999999E-2</v>
      </c>
      <c r="K41" t="str">
        <f t="shared" si="5"/>
        <v>RM3</v>
      </c>
      <c r="L41" s="9">
        <v>18</v>
      </c>
      <c r="M41">
        <v>9</v>
      </c>
      <c r="N41">
        <v>56</v>
      </c>
      <c r="O41">
        <f t="shared" si="6"/>
        <v>9</v>
      </c>
      <c r="P41">
        <f t="shared" si="7"/>
        <v>38</v>
      </c>
      <c r="Q41">
        <v>14</v>
      </c>
      <c r="R41">
        <v>40</v>
      </c>
      <c r="S41" s="9">
        <v>25.7699</v>
      </c>
      <c r="T41" s="9">
        <v>54.730420000000002</v>
      </c>
      <c r="U41" s="9">
        <f t="shared" si="8"/>
        <v>14.2301</v>
      </c>
      <c r="V41" s="9">
        <f t="shared" si="9"/>
        <v>14.730420000000002</v>
      </c>
      <c r="W41">
        <v>80</v>
      </c>
      <c r="X41">
        <v>52</v>
      </c>
      <c r="Y41">
        <f>IF('CEA Summary'!$O$4=2, L41, IF('CEA Summary'!$O$4=1,R41))</f>
        <v>18</v>
      </c>
      <c r="Z41" s="40">
        <f>IF('CEA Summary'!$O$4=2, O41, IF('CEA Summary'!$O$4=1, U41))</f>
        <v>9</v>
      </c>
      <c r="AA41" s="40">
        <f>IF('CEA Summary'!$O$4=2, P41, IF('CEA Summary'!$O$4=1, V41))</f>
        <v>38</v>
      </c>
      <c r="AB41" s="40">
        <f>IF('CEA Summary'!$O$4=2, Q41, IF('CEA Summary'!$O$4=1, W41))</f>
        <v>14</v>
      </c>
      <c r="AH41" s="156"/>
      <c r="AI41" s="157"/>
      <c r="AJ41" s="155"/>
      <c r="AK41" s="136"/>
    </row>
    <row r="42" spans="1:37" x14ac:dyDescent="0.25">
      <c r="A42" s="5" t="s">
        <v>109</v>
      </c>
      <c r="B42" s="74" t="s">
        <v>110</v>
      </c>
      <c r="C42" s="5">
        <v>67</v>
      </c>
      <c r="D42" s="5">
        <v>66</v>
      </c>
      <c r="E42" s="131">
        <v>0.79</v>
      </c>
      <c r="F42" s="131">
        <v>0.28999999999999998</v>
      </c>
      <c r="G42" s="131">
        <v>0.57999999999999996</v>
      </c>
      <c r="H42" s="5" t="s">
        <v>459</v>
      </c>
      <c r="I42" s="5" t="s">
        <v>187</v>
      </c>
      <c r="J42" s="6">
        <v>0.02</v>
      </c>
      <c r="K42" t="str">
        <f t="shared" si="5"/>
        <v>RX1</v>
      </c>
      <c r="L42" s="9">
        <v>13</v>
      </c>
      <c r="M42">
        <v>10</v>
      </c>
      <c r="N42">
        <v>22</v>
      </c>
      <c r="O42">
        <f t="shared" si="6"/>
        <v>3</v>
      </c>
      <c r="P42">
        <f t="shared" si="7"/>
        <v>9</v>
      </c>
      <c r="Q42">
        <v>14</v>
      </c>
      <c r="R42">
        <v>57.999999999999993</v>
      </c>
      <c r="S42" s="9">
        <v>44.789400000000001</v>
      </c>
      <c r="T42" s="9">
        <v>69.659809999999993</v>
      </c>
      <c r="U42" s="9">
        <f t="shared" si="8"/>
        <v>13.210599999999992</v>
      </c>
      <c r="V42" s="9">
        <f t="shared" si="9"/>
        <v>11.65981</v>
      </c>
      <c r="W42">
        <v>80</v>
      </c>
      <c r="X42">
        <v>29</v>
      </c>
      <c r="Y42">
        <f>IF('CEA Summary'!$O$4=2, L42, IF('CEA Summary'!$O$4=1,R42))</f>
        <v>13</v>
      </c>
      <c r="Z42" s="40">
        <f>IF('CEA Summary'!$O$4=2, O42, IF('CEA Summary'!$O$4=1, U42))</f>
        <v>3</v>
      </c>
      <c r="AA42" s="40">
        <f>IF('CEA Summary'!$O$4=2, P42, IF('CEA Summary'!$O$4=1, V42))</f>
        <v>9</v>
      </c>
      <c r="AB42" s="40">
        <f>IF('CEA Summary'!$O$4=2, Q42, IF('CEA Summary'!$O$4=1, W42))</f>
        <v>14</v>
      </c>
      <c r="AH42" s="156"/>
      <c r="AI42" s="157"/>
      <c r="AJ42" s="155"/>
      <c r="AK42" s="136"/>
    </row>
    <row r="43" spans="1:37" x14ac:dyDescent="0.25">
      <c r="A43" s="5" t="s">
        <v>88</v>
      </c>
      <c r="B43" s="74" t="s">
        <v>298</v>
      </c>
      <c r="C43" s="5">
        <v>117</v>
      </c>
      <c r="D43" s="5">
        <v>103</v>
      </c>
      <c r="E43" s="131">
        <v>0.64</v>
      </c>
      <c r="F43" s="131">
        <v>0.28000000000000003</v>
      </c>
      <c r="G43" s="131">
        <v>0.48</v>
      </c>
      <c r="H43" s="5" t="s">
        <v>694</v>
      </c>
      <c r="I43" s="5" t="s">
        <v>189</v>
      </c>
      <c r="J43" s="6">
        <v>2.7E-2</v>
      </c>
      <c r="K43" t="str">
        <f t="shared" si="5"/>
        <v>RTH</v>
      </c>
      <c r="L43" s="9">
        <v>15</v>
      </c>
      <c r="M43">
        <v>10</v>
      </c>
      <c r="N43">
        <v>29</v>
      </c>
      <c r="O43">
        <f t="shared" si="6"/>
        <v>5</v>
      </c>
      <c r="P43">
        <f t="shared" si="7"/>
        <v>14</v>
      </c>
      <c r="Q43">
        <v>14</v>
      </c>
      <c r="R43">
        <v>48</v>
      </c>
      <c r="S43" s="9">
        <v>37.640069999999994</v>
      </c>
      <c r="T43" s="9">
        <v>57.648739999999997</v>
      </c>
      <c r="U43" s="9">
        <f t="shared" si="8"/>
        <v>10.359930000000006</v>
      </c>
      <c r="V43" s="9">
        <f t="shared" si="9"/>
        <v>9.6487399999999965</v>
      </c>
      <c r="W43">
        <v>80</v>
      </c>
      <c r="X43">
        <v>43</v>
      </c>
      <c r="Y43">
        <f>IF('CEA Summary'!$O$4=2, L43, IF('CEA Summary'!$O$4=1,R43))</f>
        <v>15</v>
      </c>
      <c r="Z43" s="40">
        <f>IF('CEA Summary'!$O$4=2, O43, IF('CEA Summary'!$O$4=1, U43))</f>
        <v>5</v>
      </c>
      <c r="AA43" s="40">
        <f>IF('CEA Summary'!$O$4=2, P43, IF('CEA Summary'!$O$4=1, V43))</f>
        <v>14</v>
      </c>
      <c r="AB43" s="40">
        <f>IF('CEA Summary'!$O$4=2, Q43, IF('CEA Summary'!$O$4=1, W43))</f>
        <v>14</v>
      </c>
      <c r="AH43" s="156"/>
      <c r="AI43" s="157"/>
      <c r="AJ43" s="155"/>
      <c r="AK43" s="136"/>
    </row>
    <row r="44" spans="1:37" x14ac:dyDescent="0.25">
      <c r="A44" s="5" t="s">
        <v>71</v>
      </c>
      <c r="B44" s="74" t="s">
        <v>72</v>
      </c>
      <c r="C44" s="5" t="s">
        <v>226</v>
      </c>
      <c r="D44" s="5" t="s">
        <v>226</v>
      </c>
      <c r="E44" s="5" t="s">
        <v>227</v>
      </c>
      <c r="F44" s="5" t="s">
        <v>227</v>
      </c>
      <c r="G44" s="5" t="s">
        <v>227</v>
      </c>
      <c r="H44" s="5" t="s">
        <v>227</v>
      </c>
      <c r="I44" s="5" t="s">
        <v>227</v>
      </c>
      <c r="J44" s="6" t="s">
        <v>227</v>
      </c>
      <c r="K44" t="str">
        <f t="shared" si="5"/>
        <v>RQW</v>
      </c>
      <c r="L44" t="s">
        <v>227</v>
      </c>
      <c r="M44" t="e">
        <v>#VALUE!</v>
      </c>
      <c r="N44" t="e">
        <v>#VALUE!</v>
      </c>
      <c r="O44" t="e">
        <f t="shared" si="6"/>
        <v>#VALUE!</v>
      </c>
      <c r="P44" t="e">
        <f t="shared" si="7"/>
        <v>#VALUE!</v>
      </c>
      <c r="Q44">
        <v>14</v>
      </c>
      <c r="R44" t="e">
        <v>#VALUE!</v>
      </c>
      <c r="S44" s="9" t="e">
        <v>#N/A</v>
      </c>
      <c r="T44" s="9" t="e">
        <v>#N/A</v>
      </c>
      <c r="U44" s="9" t="e">
        <f t="shared" si="8"/>
        <v>#VALUE!</v>
      </c>
      <c r="V44" s="9" t="e">
        <f t="shared" si="9"/>
        <v>#N/A</v>
      </c>
      <c r="W44">
        <v>80</v>
      </c>
      <c r="X44">
        <v>68</v>
      </c>
      <c r="Y44" t="str">
        <f>IF('CEA Summary'!$O$4=2, L44, IF('CEA Summary'!$O$4=1,R44))</f>
        <v>xx</v>
      </c>
      <c r="Z44" s="40" t="e">
        <f>IF('CEA Summary'!$O$4=2, O44, IF('CEA Summary'!$O$4=1, U44))</f>
        <v>#VALUE!</v>
      </c>
      <c r="AA44" s="40" t="e">
        <f>IF('CEA Summary'!$O$4=2, P44, IF('CEA Summary'!$O$4=1, V44))</f>
        <v>#VALUE!</v>
      </c>
      <c r="AB44" s="40">
        <f>IF('CEA Summary'!$O$4=2, Q44, IF('CEA Summary'!$O$4=1, W44))</f>
        <v>14</v>
      </c>
      <c r="AH44" s="156"/>
      <c r="AI44" s="157"/>
      <c r="AJ44" s="155"/>
      <c r="AK44" s="136"/>
    </row>
    <row r="45" spans="1:37" x14ac:dyDescent="0.25">
      <c r="A45" s="5" t="s">
        <v>81</v>
      </c>
      <c r="B45" s="74" t="s">
        <v>82</v>
      </c>
      <c r="C45" s="5" t="s">
        <v>226</v>
      </c>
      <c r="D45" s="5" t="s">
        <v>226</v>
      </c>
      <c r="E45" s="5" t="s">
        <v>227</v>
      </c>
      <c r="F45" s="5" t="s">
        <v>227</v>
      </c>
      <c r="G45" s="5" t="s">
        <v>227</v>
      </c>
      <c r="H45" s="5" t="s">
        <v>227</v>
      </c>
      <c r="I45" s="5" t="s">
        <v>227</v>
      </c>
      <c r="J45" s="6" t="s">
        <v>227</v>
      </c>
      <c r="K45" t="str">
        <f t="shared" si="5"/>
        <v>RT3</v>
      </c>
      <c r="L45" t="s">
        <v>227</v>
      </c>
      <c r="M45" t="e">
        <v>#VALUE!</v>
      </c>
      <c r="N45" t="e">
        <v>#VALUE!</v>
      </c>
      <c r="O45" t="e">
        <f t="shared" si="6"/>
        <v>#VALUE!</v>
      </c>
      <c r="P45" t="e">
        <f t="shared" si="7"/>
        <v>#VALUE!</v>
      </c>
      <c r="Q45">
        <v>14</v>
      </c>
      <c r="R45" t="e">
        <v>#VALUE!</v>
      </c>
      <c r="S45" s="9" t="e">
        <v>#N/A</v>
      </c>
      <c r="T45" s="9" t="e">
        <v>#N/A</v>
      </c>
      <c r="U45" s="9" t="e">
        <f t="shared" si="8"/>
        <v>#VALUE!</v>
      </c>
      <c r="V45" s="9" t="e">
        <f t="shared" si="9"/>
        <v>#N/A</v>
      </c>
      <c r="W45">
        <v>80</v>
      </c>
      <c r="X45">
        <v>69</v>
      </c>
      <c r="Y45" t="str">
        <f>IF('CEA Summary'!$O$4=2, L45, IF('CEA Summary'!$O$4=1,R45))</f>
        <v>xx</v>
      </c>
      <c r="Z45" s="40" t="e">
        <f>IF('CEA Summary'!$O$4=2, O45, IF('CEA Summary'!$O$4=1, U45))</f>
        <v>#VALUE!</v>
      </c>
      <c r="AA45" s="40" t="e">
        <f>IF('CEA Summary'!$O$4=2, P45, IF('CEA Summary'!$O$4=1, V45))</f>
        <v>#VALUE!</v>
      </c>
      <c r="AB45" s="40">
        <f>IF('CEA Summary'!$O$4=2, Q45, IF('CEA Summary'!$O$4=1, W45))</f>
        <v>14</v>
      </c>
      <c r="AH45" s="156"/>
      <c r="AI45" s="157"/>
      <c r="AJ45" s="155"/>
      <c r="AK45" s="136"/>
    </row>
    <row r="46" spans="1:37" x14ac:dyDescent="0.25">
      <c r="A46" s="5" t="s">
        <v>27</v>
      </c>
      <c r="B46" s="74" t="s">
        <v>28</v>
      </c>
      <c r="C46" s="5">
        <v>38</v>
      </c>
      <c r="D46" s="5">
        <v>36</v>
      </c>
      <c r="E46" s="131">
        <v>0.74</v>
      </c>
      <c r="F46" s="131">
        <v>0.62</v>
      </c>
      <c r="G46" s="131">
        <v>0.64</v>
      </c>
      <c r="H46" s="5" t="s">
        <v>669</v>
      </c>
      <c r="I46" s="5" t="s">
        <v>186</v>
      </c>
      <c r="J46" s="6">
        <v>1.4E-2</v>
      </c>
      <c r="K46" t="str">
        <f t="shared" si="5"/>
        <v>REF</v>
      </c>
      <c r="L46" s="9">
        <v>12</v>
      </c>
      <c r="M46">
        <v>8</v>
      </c>
      <c r="N46">
        <v>17</v>
      </c>
      <c r="O46">
        <f t="shared" si="6"/>
        <v>4</v>
      </c>
      <c r="P46">
        <f t="shared" si="7"/>
        <v>5</v>
      </c>
      <c r="Q46">
        <v>14</v>
      </c>
      <c r="R46">
        <v>64</v>
      </c>
      <c r="S46" s="9">
        <v>46.2209</v>
      </c>
      <c r="T46" s="9">
        <v>79.177710000000005</v>
      </c>
      <c r="U46" s="9">
        <f t="shared" si="8"/>
        <v>17.7791</v>
      </c>
      <c r="V46" s="9">
        <f t="shared" si="9"/>
        <v>15.177710000000005</v>
      </c>
      <c r="W46">
        <v>80</v>
      </c>
      <c r="X46">
        <v>22</v>
      </c>
      <c r="Y46">
        <f>IF('CEA Summary'!$O$4=2, L46, IF('CEA Summary'!$O$4=1,R46))</f>
        <v>12</v>
      </c>
      <c r="Z46" s="40">
        <f>IF('CEA Summary'!$O$4=2, O46, IF('CEA Summary'!$O$4=1, U46))</f>
        <v>4</v>
      </c>
      <c r="AA46" s="40">
        <f>IF('CEA Summary'!$O$4=2, P46, IF('CEA Summary'!$O$4=1, V46))</f>
        <v>5</v>
      </c>
      <c r="AB46" s="40">
        <f>IF('CEA Summary'!$O$4=2, Q46, IF('CEA Summary'!$O$4=1, W46))</f>
        <v>14</v>
      </c>
      <c r="AH46" s="156"/>
      <c r="AI46" s="157"/>
      <c r="AJ46" s="155"/>
      <c r="AK46" s="136"/>
    </row>
    <row r="47" spans="1:37" x14ac:dyDescent="0.25">
      <c r="A47" s="5" t="s">
        <v>37</v>
      </c>
      <c r="B47" s="74" t="s">
        <v>596</v>
      </c>
      <c r="C47" s="5">
        <v>31</v>
      </c>
      <c r="D47" s="5">
        <v>31</v>
      </c>
      <c r="E47" s="131">
        <v>0.63</v>
      </c>
      <c r="F47" s="131">
        <v>0.43</v>
      </c>
      <c r="G47" s="131">
        <v>0.55000000000000004</v>
      </c>
      <c r="H47" s="5" t="s">
        <v>674</v>
      </c>
      <c r="I47" s="5" t="s">
        <v>189</v>
      </c>
      <c r="J47" s="6">
        <v>1.9E-2</v>
      </c>
      <c r="K47" t="str">
        <f t="shared" si="5"/>
        <v>RH8</v>
      </c>
      <c r="L47" s="9">
        <v>14</v>
      </c>
      <c r="M47">
        <v>8</v>
      </c>
      <c r="N47">
        <v>21</v>
      </c>
      <c r="O47">
        <f t="shared" si="6"/>
        <v>6</v>
      </c>
      <c r="P47">
        <f t="shared" si="7"/>
        <v>7</v>
      </c>
      <c r="Q47">
        <v>14</v>
      </c>
      <c r="R47">
        <v>55.000000000000007</v>
      </c>
      <c r="S47" s="9">
        <v>36.034230000000001</v>
      </c>
      <c r="T47" s="9">
        <v>72.683499999999995</v>
      </c>
      <c r="U47" s="9">
        <f t="shared" si="8"/>
        <v>18.965770000000006</v>
      </c>
      <c r="V47" s="9">
        <f t="shared" si="9"/>
        <v>17.683499999999988</v>
      </c>
      <c r="W47">
        <v>80</v>
      </c>
      <c r="X47">
        <v>32</v>
      </c>
      <c r="Y47">
        <f>IF('CEA Summary'!$O$4=2, L47, IF('CEA Summary'!$O$4=1,R47))</f>
        <v>14</v>
      </c>
      <c r="Z47" s="40">
        <f>IF('CEA Summary'!$O$4=2, O47, IF('CEA Summary'!$O$4=1, U47))</f>
        <v>6</v>
      </c>
      <c r="AA47" s="40">
        <f>IF('CEA Summary'!$O$4=2, P47, IF('CEA Summary'!$O$4=1, V47))</f>
        <v>7</v>
      </c>
      <c r="AB47" s="40">
        <f>IF('CEA Summary'!$O$4=2, Q47, IF('CEA Summary'!$O$4=1, W47))</f>
        <v>14</v>
      </c>
      <c r="AH47" s="156"/>
      <c r="AI47" s="157"/>
      <c r="AJ47" s="155"/>
      <c r="AK47" s="136"/>
    </row>
    <row r="48" spans="1:37" x14ac:dyDescent="0.25">
      <c r="A48" s="5" t="s">
        <v>18</v>
      </c>
      <c r="B48" s="74" t="s">
        <v>19</v>
      </c>
      <c r="C48" s="5">
        <v>23</v>
      </c>
      <c r="D48" s="5">
        <v>21</v>
      </c>
      <c r="E48" s="131">
        <v>0.6</v>
      </c>
      <c r="F48" s="131">
        <v>0.35</v>
      </c>
      <c r="G48" s="131">
        <v>0.28999999999999998</v>
      </c>
      <c r="H48" s="5" t="s">
        <v>665</v>
      </c>
      <c r="I48" s="5" t="s">
        <v>166</v>
      </c>
      <c r="J48" s="6">
        <v>3.4000000000000002E-2</v>
      </c>
      <c r="K48" t="str">
        <f t="shared" si="5"/>
        <v>RAL</v>
      </c>
      <c r="L48" s="9">
        <v>20</v>
      </c>
      <c r="M48">
        <v>14</v>
      </c>
      <c r="N48">
        <v>25</v>
      </c>
      <c r="O48">
        <f t="shared" si="6"/>
        <v>6</v>
      </c>
      <c r="P48">
        <f t="shared" si="7"/>
        <v>5</v>
      </c>
      <c r="Q48">
        <v>14</v>
      </c>
      <c r="R48">
        <v>28.999999999999996</v>
      </c>
      <c r="S48" s="9">
        <v>11.280940000000001</v>
      </c>
      <c r="T48" s="9">
        <v>52.175110000000004</v>
      </c>
      <c r="U48" s="9">
        <f t="shared" si="8"/>
        <v>17.719059999999995</v>
      </c>
      <c r="V48" s="9">
        <f t="shared" si="9"/>
        <v>23.175110000000007</v>
      </c>
      <c r="W48">
        <v>80</v>
      </c>
      <c r="X48">
        <v>57</v>
      </c>
      <c r="Y48">
        <f>IF('CEA Summary'!$O$4=2, L48, IF('CEA Summary'!$O$4=1,R48))</f>
        <v>20</v>
      </c>
      <c r="Z48" s="40">
        <f>IF('CEA Summary'!$O$4=2, O48, IF('CEA Summary'!$O$4=1, U48))</f>
        <v>6</v>
      </c>
      <c r="AA48" s="40">
        <f>IF('CEA Summary'!$O$4=2, P48, IF('CEA Summary'!$O$4=1, V48))</f>
        <v>5</v>
      </c>
      <c r="AB48" s="40">
        <f>IF('CEA Summary'!$O$4=2, Q48, IF('CEA Summary'!$O$4=1, W48))</f>
        <v>14</v>
      </c>
      <c r="AH48" s="156"/>
      <c r="AI48" s="157"/>
      <c r="AJ48" s="155"/>
      <c r="AK48" s="136"/>
    </row>
    <row r="49" spans="1:37" x14ac:dyDescent="0.25">
      <c r="A49" s="5" t="s">
        <v>41</v>
      </c>
      <c r="B49" s="74" t="s">
        <v>42</v>
      </c>
      <c r="C49" s="5">
        <v>41</v>
      </c>
      <c r="D49" s="5">
        <v>41</v>
      </c>
      <c r="E49" s="131">
        <v>0.59</v>
      </c>
      <c r="F49" s="131">
        <v>0.37</v>
      </c>
      <c r="G49" s="131">
        <v>0.37</v>
      </c>
      <c r="H49" s="5" t="s">
        <v>676</v>
      </c>
      <c r="I49" s="5" t="s">
        <v>172</v>
      </c>
      <c r="J49" s="6">
        <v>2.4E-2</v>
      </c>
      <c r="K49" t="str">
        <f t="shared" si="5"/>
        <v>RHQ</v>
      </c>
      <c r="L49" s="9">
        <v>20</v>
      </c>
      <c r="M49">
        <v>11</v>
      </c>
      <c r="N49">
        <v>44</v>
      </c>
      <c r="O49">
        <f t="shared" si="6"/>
        <v>9</v>
      </c>
      <c r="P49">
        <f t="shared" si="7"/>
        <v>24</v>
      </c>
      <c r="Q49">
        <v>14</v>
      </c>
      <c r="R49">
        <v>37</v>
      </c>
      <c r="S49" s="9">
        <v>22.122790000000002</v>
      </c>
      <c r="T49" s="9">
        <v>53.063740000000003</v>
      </c>
      <c r="U49" s="9">
        <f t="shared" si="8"/>
        <v>14.877209999999998</v>
      </c>
      <c r="V49" s="9">
        <f t="shared" si="9"/>
        <v>16.063740000000003</v>
      </c>
      <c r="W49">
        <v>80</v>
      </c>
      <c r="X49">
        <v>58</v>
      </c>
      <c r="Y49">
        <f>IF('CEA Summary'!$O$4=2, L49, IF('CEA Summary'!$O$4=1,R49))</f>
        <v>20</v>
      </c>
      <c r="Z49" s="40">
        <f>IF('CEA Summary'!$O$4=2, O49, IF('CEA Summary'!$O$4=1, U49))</f>
        <v>9</v>
      </c>
      <c r="AA49" s="40">
        <f>IF('CEA Summary'!$O$4=2, P49, IF('CEA Summary'!$O$4=1, V49))</f>
        <v>24</v>
      </c>
      <c r="AB49" s="40">
        <f>IF('CEA Summary'!$O$4=2, Q49, IF('CEA Summary'!$O$4=1, W49))</f>
        <v>14</v>
      </c>
      <c r="AH49" s="156"/>
      <c r="AI49" s="157"/>
      <c r="AJ49" s="155"/>
      <c r="AK49" s="136"/>
    </row>
    <row r="50" spans="1:37" x14ac:dyDescent="0.25">
      <c r="A50" s="5" t="s">
        <v>117</v>
      </c>
      <c r="B50" s="74" t="s">
        <v>118</v>
      </c>
      <c r="C50" s="5">
        <v>25</v>
      </c>
      <c r="D50" s="5">
        <v>25</v>
      </c>
      <c r="E50" s="131">
        <v>0.8</v>
      </c>
      <c r="F50" s="131">
        <v>0.4</v>
      </c>
      <c r="G50" s="131">
        <v>0.64</v>
      </c>
      <c r="H50" s="5" t="s">
        <v>703</v>
      </c>
      <c r="I50" s="5" t="s">
        <v>189</v>
      </c>
      <c r="J50" s="6">
        <v>2.5000000000000001E-2</v>
      </c>
      <c r="K50" t="str">
        <f t="shared" si="5"/>
        <v>RXW</v>
      </c>
      <c r="L50" s="9">
        <v>12</v>
      </c>
      <c r="M50">
        <v>9</v>
      </c>
      <c r="N50">
        <v>17</v>
      </c>
      <c r="O50">
        <f t="shared" si="6"/>
        <v>3</v>
      </c>
      <c r="P50">
        <f t="shared" si="7"/>
        <v>5</v>
      </c>
      <c r="Q50">
        <v>14</v>
      </c>
      <c r="R50">
        <v>64</v>
      </c>
      <c r="S50" s="9">
        <v>42.52064</v>
      </c>
      <c r="T50" s="9">
        <v>82.028319999999994</v>
      </c>
      <c r="U50" s="9">
        <f t="shared" si="8"/>
        <v>21.47936</v>
      </c>
      <c r="V50" s="9">
        <f t="shared" si="9"/>
        <v>18.028319999999994</v>
      </c>
      <c r="W50">
        <v>80</v>
      </c>
      <c r="X50">
        <v>23</v>
      </c>
      <c r="Y50">
        <f>IF('CEA Summary'!$O$4=2, L50, IF('CEA Summary'!$O$4=1,R50))</f>
        <v>12</v>
      </c>
      <c r="Z50" s="40">
        <f>IF('CEA Summary'!$O$4=2, O50, IF('CEA Summary'!$O$4=1, U50))</f>
        <v>3</v>
      </c>
      <c r="AA50" s="40">
        <f>IF('CEA Summary'!$O$4=2, P50, IF('CEA Summary'!$O$4=1, V50))</f>
        <v>5</v>
      </c>
      <c r="AB50" s="40">
        <f>IF('CEA Summary'!$O$4=2, Q50, IF('CEA Summary'!$O$4=1, W50))</f>
        <v>14</v>
      </c>
      <c r="AH50" s="156"/>
      <c r="AI50" s="157"/>
      <c r="AJ50" s="155"/>
      <c r="AK50" s="136"/>
    </row>
    <row r="51" spans="1:37" x14ac:dyDescent="0.25">
      <c r="A51" s="5" t="s">
        <v>348</v>
      </c>
      <c r="B51" s="74" t="s">
        <v>349</v>
      </c>
      <c r="C51" s="5">
        <v>62</v>
      </c>
      <c r="D51" s="5">
        <v>57</v>
      </c>
      <c r="E51" s="131">
        <v>0.71</v>
      </c>
      <c r="F51" s="131">
        <v>0.39</v>
      </c>
      <c r="G51" s="131">
        <v>0.53</v>
      </c>
      <c r="H51" s="5" t="s">
        <v>673</v>
      </c>
      <c r="I51" s="5" t="s">
        <v>183</v>
      </c>
      <c r="J51" s="6">
        <v>4.8000000000000001E-2</v>
      </c>
      <c r="K51" t="str">
        <f t="shared" si="5"/>
        <v>RH5</v>
      </c>
      <c r="L51" s="9">
        <v>14</v>
      </c>
      <c r="M51">
        <v>10</v>
      </c>
      <c r="N51">
        <v>22</v>
      </c>
      <c r="O51">
        <f t="shared" si="6"/>
        <v>4</v>
      </c>
      <c r="P51">
        <f t="shared" si="7"/>
        <v>8</v>
      </c>
      <c r="Q51">
        <v>14</v>
      </c>
      <c r="R51">
        <v>53</v>
      </c>
      <c r="S51" s="9">
        <v>38.965220000000002</v>
      </c>
      <c r="T51" s="9">
        <v>66.015169999999998</v>
      </c>
      <c r="U51" s="9">
        <f t="shared" si="8"/>
        <v>14.034779999999998</v>
      </c>
      <c r="V51" s="9">
        <f t="shared" si="9"/>
        <v>13.015169999999998</v>
      </c>
      <c r="W51">
        <v>80</v>
      </c>
      <c r="X51">
        <v>36</v>
      </c>
      <c r="Y51">
        <f>IF('CEA Summary'!$O$4=2, L51, IF('CEA Summary'!$O$4=1,R51))</f>
        <v>14</v>
      </c>
      <c r="Z51" s="40">
        <f>IF('CEA Summary'!$O$4=2, O51, IF('CEA Summary'!$O$4=1, U51))</f>
        <v>4</v>
      </c>
      <c r="AA51" s="40">
        <f>IF('CEA Summary'!$O$4=2, P51, IF('CEA Summary'!$O$4=1, V51))</f>
        <v>8</v>
      </c>
      <c r="AB51" s="40">
        <f>IF('CEA Summary'!$O$4=2, Q51, IF('CEA Summary'!$O$4=1, W51))</f>
        <v>14</v>
      </c>
      <c r="AH51" s="156"/>
      <c r="AI51" s="157"/>
      <c r="AJ51" s="155"/>
      <c r="AK51" s="136"/>
    </row>
    <row r="52" spans="1:37" x14ac:dyDescent="0.25">
      <c r="A52" s="5" t="s">
        <v>90</v>
      </c>
      <c r="B52" s="74" t="s">
        <v>91</v>
      </c>
      <c r="C52" s="5">
        <v>45</v>
      </c>
      <c r="D52" s="5">
        <v>45</v>
      </c>
      <c r="E52" s="131">
        <v>0.71</v>
      </c>
      <c r="F52" s="131">
        <v>0.38</v>
      </c>
      <c r="G52" s="131">
        <v>0.53</v>
      </c>
      <c r="H52" s="5" t="s">
        <v>674</v>
      </c>
      <c r="I52" s="5" t="s">
        <v>189</v>
      </c>
      <c r="J52" s="6">
        <v>7.0000000000000001E-3</v>
      </c>
      <c r="K52" t="str">
        <f t="shared" si="5"/>
        <v>RTR</v>
      </c>
      <c r="L52" s="9">
        <v>14</v>
      </c>
      <c r="M52">
        <v>8</v>
      </c>
      <c r="N52">
        <v>21</v>
      </c>
      <c r="O52">
        <f t="shared" si="6"/>
        <v>6</v>
      </c>
      <c r="P52">
        <f t="shared" si="7"/>
        <v>7</v>
      </c>
      <c r="Q52">
        <v>14</v>
      </c>
      <c r="R52">
        <v>53</v>
      </c>
      <c r="S52" s="9">
        <v>37.872</v>
      </c>
      <c r="T52" s="9">
        <v>68.339919999999992</v>
      </c>
      <c r="U52" s="9">
        <f t="shared" si="8"/>
        <v>15.128</v>
      </c>
      <c r="V52" s="9">
        <f t="shared" si="9"/>
        <v>15.339919999999992</v>
      </c>
      <c r="W52">
        <v>80</v>
      </c>
      <c r="X52">
        <v>33</v>
      </c>
      <c r="Y52">
        <f>IF('CEA Summary'!$O$4=2, L52, IF('CEA Summary'!$O$4=1,R52))</f>
        <v>14</v>
      </c>
      <c r="Z52" s="40">
        <f>IF('CEA Summary'!$O$4=2, O52, IF('CEA Summary'!$O$4=1, U52))</f>
        <v>6</v>
      </c>
      <c r="AA52" s="40">
        <f>IF('CEA Summary'!$O$4=2, P52, IF('CEA Summary'!$O$4=1, V52))</f>
        <v>7</v>
      </c>
      <c r="AB52" s="40">
        <f>IF('CEA Summary'!$O$4=2, Q52, IF('CEA Summary'!$O$4=1, W52))</f>
        <v>14</v>
      </c>
      <c r="AH52" s="156"/>
      <c r="AI52" s="157"/>
      <c r="AJ52" s="155"/>
      <c r="AK52" s="136"/>
    </row>
    <row r="53" spans="1:37" x14ac:dyDescent="0.25">
      <c r="A53" s="5" t="s">
        <v>333</v>
      </c>
      <c r="B53" s="74" t="s">
        <v>334</v>
      </c>
      <c r="C53" s="5">
        <v>57</v>
      </c>
      <c r="D53" s="5">
        <v>56</v>
      </c>
      <c r="E53" s="131">
        <v>0.63</v>
      </c>
      <c r="F53" s="131">
        <v>7.0000000000000007E-2</v>
      </c>
      <c r="G53" s="131">
        <v>0.28999999999999998</v>
      </c>
      <c r="H53" s="5" t="s">
        <v>660</v>
      </c>
      <c r="I53" s="5" t="s">
        <v>176</v>
      </c>
      <c r="J53" s="6">
        <v>2.1000000000000001E-2</v>
      </c>
      <c r="K53" t="str">
        <f t="shared" si="5"/>
        <v>R0B</v>
      </c>
      <c r="L53" s="9">
        <v>22</v>
      </c>
      <c r="M53">
        <v>14</v>
      </c>
      <c r="N53">
        <v>35</v>
      </c>
      <c r="O53">
        <f t="shared" si="6"/>
        <v>8</v>
      </c>
      <c r="P53">
        <f t="shared" si="7"/>
        <v>13</v>
      </c>
      <c r="Q53">
        <v>14</v>
      </c>
      <c r="R53">
        <v>28.999999999999996</v>
      </c>
      <c r="S53" s="9">
        <v>17.295179999999998</v>
      </c>
      <c r="T53" s="9">
        <v>42.209870000000002</v>
      </c>
      <c r="U53" s="9">
        <f t="shared" si="8"/>
        <v>11.704819999999998</v>
      </c>
      <c r="V53" s="9">
        <f t="shared" si="9"/>
        <v>13.209870000000006</v>
      </c>
      <c r="W53">
        <v>80</v>
      </c>
      <c r="X53">
        <v>62</v>
      </c>
      <c r="Y53">
        <f>IF('CEA Summary'!$O$4=2, L53, IF('CEA Summary'!$O$4=1,R53))</f>
        <v>22</v>
      </c>
      <c r="Z53" s="40">
        <f>IF('CEA Summary'!$O$4=2, O53, IF('CEA Summary'!$O$4=1, U53))</f>
        <v>8</v>
      </c>
      <c r="AA53" s="40">
        <f>IF('CEA Summary'!$O$4=2, P53, IF('CEA Summary'!$O$4=1, V53))</f>
        <v>13</v>
      </c>
      <c r="AB53" s="40">
        <f>IF('CEA Summary'!$O$4=2, Q53, IF('CEA Summary'!$O$4=1, W53))</f>
        <v>14</v>
      </c>
      <c r="AH53" s="156"/>
      <c r="AI53" s="157"/>
      <c r="AJ53" s="155"/>
      <c r="AK53" s="136"/>
    </row>
    <row r="54" spans="1:37" x14ac:dyDescent="0.25">
      <c r="A54" s="5" t="s">
        <v>47</v>
      </c>
      <c r="B54" s="74" t="s">
        <v>48</v>
      </c>
      <c r="C54" s="5">
        <v>36</v>
      </c>
      <c r="D54" s="5">
        <v>34</v>
      </c>
      <c r="E54" s="131">
        <v>0.71</v>
      </c>
      <c r="F54" s="131">
        <v>0.53</v>
      </c>
      <c r="G54" s="131">
        <v>0.74</v>
      </c>
      <c r="H54" s="5" t="s">
        <v>678</v>
      </c>
      <c r="I54" s="5" t="s">
        <v>165</v>
      </c>
      <c r="J54" s="6">
        <v>0.01</v>
      </c>
      <c r="K54" t="str">
        <f t="shared" si="5"/>
        <v>RJ7</v>
      </c>
      <c r="L54" s="9">
        <v>11</v>
      </c>
      <c r="M54">
        <v>9</v>
      </c>
      <c r="N54">
        <v>15</v>
      </c>
      <c r="O54">
        <f t="shared" si="6"/>
        <v>2</v>
      </c>
      <c r="P54">
        <f t="shared" si="7"/>
        <v>4</v>
      </c>
      <c r="Q54">
        <v>14</v>
      </c>
      <c r="R54">
        <v>74</v>
      </c>
      <c r="S54" s="9">
        <v>55.638460000000002</v>
      </c>
      <c r="T54" s="9">
        <v>87.118260000000006</v>
      </c>
      <c r="U54" s="9">
        <f t="shared" si="8"/>
        <v>18.361539999999998</v>
      </c>
      <c r="V54" s="9">
        <f t="shared" si="9"/>
        <v>13.118260000000006</v>
      </c>
      <c r="W54">
        <v>80</v>
      </c>
      <c r="X54">
        <v>14</v>
      </c>
      <c r="Y54">
        <f>IF('CEA Summary'!$O$4=2, L54, IF('CEA Summary'!$O$4=1,R54))</f>
        <v>11</v>
      </c>
      <c r="Z54" s="40">
        <f>IF('CEA Summary'!$O$4=2, O54, IF('CEA Summary'!$O$4=1, U54))</f>
        <v>2</v>
      </c>
      <c r="AA54" s="40">
        <f>IF('CEA Summary'!$O$4=2, P54, IF('CEA Summary'!$O$4=1, V54))</f>
        <v>4</v>
      </c>
      <c r="AB54" s="40">
        <f>IF('CEA Summary'!$O$4=2, Q54, IF('CEA Summary'!$O$4=1, W54))</f>
        <v>14</v>
      </c>
      <c r="AH54" s="156"/>
      <c r="AI54" s="157"/>
      <c r="AJ54" s="155"/>
      <c r="AK54" s="136"/>
    </row>
    <row r="55" spans="1:37" x14ac:dyDescent="0.25">
      <c r="A55" s="5" t="s">
        <v>2</v>
      </c>
      <c r="B55" s="74" t="s">
        <v>158</v>
      </c>
      <c r="C55" s="5">
        <v>72</v>
      </c>
      <c r="D55" s="5">
        <v>71</v>
      </c>
      <c r="E55" s="131">
        <v>0.54</v>
      </c>
      <c r="F55" s="131">
        <v>0.67</v>
      </c>
      <c r="G55" s="131">
        <v>0.49</v>
      </c>
      <c r="H55" s="5" t="s">
        <v>657</v>
      </c>
      <c r="I55" s="5" t="s">
        <v>174</v>
      </c>
      <c r="J55" s="6">
        <v>2.4E-2</v>
      </c>
      <c r="K55" t="str">
        <f t="shared" si="5"/>
        <v>7A3</v>
      </c>
      <c r="L55" s="9">
        <v>16</v>
      </c>
      <c r="M55">
        <v>10</v>
      </c>
      <c r="N55">
        <v>22</v>
      </c>
      <c r="O55">
        <f t="shared" si="6"/>
        <v>6</v>
      </c>
      <c r="P55">
        <f t="shared" si="7"/>
        <v>6</v>
      </c>
      <c r="Q55">
        <v>14</v>
      </c>
      <c r="R55">
        <v>49</v>
      </c>
      <c r="S55" s="9">
        <v>36.44021</v>
      </c>
      <c r="T55" s="9">
        <v>60.827310000000004</v>
      </c>
      <c r="U55" s="9">
        <f t="shared" si="8"/>
        <v>12.55979</v>
      </c>
      <c r="V55" s="9">
        <f t="shared" si="9"/>
        <v>11.827310000000004</v>
      </c>
      <c r="W55">
        <v>80</v>
      </c>
      <c r="X55">
        <v>45</v>
      </c>
      <c r="Y55">
        <f>IF('CEA Summary'!$O$4=2, L55, IF('CEA Summary'!$O$4=1,R55))</f>
        <v>16</v>
      </c>
      <c r="Z55" s="40">
        <f>IF('CEA Summary'!$O$4=2, O55, IF('CEA Summary'!$O$4=1, U55))</f>
        <v>6</v>
      </c>
      <c r="AA55" s="40">
        <f>IF('CEA Summary'!$O$4=2, P55, IF('CEA Summary'!$O$4=1, V55))</f>
        <v>6</v>
      </c>
      <c r="AB55" s="40">
        <f>IF('CEA Summary'!$O$4=2, Q55, IF('CEA Summary'!$O$4=1, W55))</f>
        <v>14</v>
      </c>
      <c r="AH55" s="156"/>
      <c r="AI55" s="157"/>
      <c r="AJ55" s="155"/>
      <c r="AK55" s="136"/>
    </row>
    <row r="56" spans="1:37" x14ac:dyDescent="0.25">
      <c r="A56" s="5" t="s">
        <v>64</v>
      </c>
      <c r="B56" s="74" t="s">
        <v>65</v>
      </c>
      <c r="C56" s="5">
        <v>41</v>
      </c>
      <c r="D56" s="5">
        <v>39</v>
      </c>
      <c r="E56" s="131">
        <v>0.7</v>
      </c>
      <c r="F56" s="131">
        <v>0.37</v>
      </c>
      <c r="G56" s="131">
        <v>0.46</v>
      </c>
      <c r="H56" s="5" t="s">
        <v>685</v>
      </c>
      <c r="I56" s="5" t="s">
        <v>189</v>
      </c>
      <c r="J56" s="6">
        <v>2.9000000000000001E-2</v>
      </c>
      <c r="K56" t="str">
        <f t="shared" si="5"/>
        <v>RNA</v>
      </c>
      <c r="L56" s="9">
        <v>16</v>
      </c>
      <c r="M56">
        <v>9</v>
      </c>
      <c r="N56">
        <v>21</v>
      </c>
      <c r="O56">
        <f t="shared" si="6"/>
        <v>7</v>
      </c>
      <c r="P56">
        <f t="shared" si="7"/>
        <v>5</v>
      </c>
      <c r="Q56">
        <v>14</v>
      </c>
      <c r="R56">
        <v>46</v>
      </c>
      <c r="S56" s="9">
        <v>30.09478</v>
      </c>
      <c r="T56" s="9">
        <v>62.818929999999995</v>
      </c>
      <c r="U56" s="9">
        <f t="shared" si="8"/>
        <v>15.90522</v>
      </c>
      <c r="V56" s="9">
        <f t="shared" si="9"/>
        <v>16.818929999999995</v>
      </c>
      <c r="W56">
        <v>80</v>
      </c>
      <c r="X56">
        <v>44</v>
      </c>
      <c r="Y56">
        <f>IF('CEA Summary'!$O$4=2, L56, IF('CEA Summary'!$O$4=1,R56))</f>
        <v>16</v>
      </c>
      <c r="Z56" s="40">
        <f>IF('CEA Summary'!$O$4=2, O56, IF('CEA Summary'!$O$4=1, U56))</f>
        <v>7</v>
      </c>
      <c r="AA56" s="40">
        <f>IF('CEA Summary'!$O$4=2, P56, IF('CEA Summary'!$O$4=1, V56))</f>
        <v>5</v>
      </c>
      <c r="AB56" s="40">
        <f>IF('CEA Summary'!$O$4=2, Q56, IF('CEA Summary'!$O$4=1, W56))</f>
        <v>14</v>
      </c>
      <c r="AH56" s="156"/>
      <c r="AI56" s="157"/>
      <c r="AJ56" s="155"/>
      <c r="AK56" s="136"/>
    </row>
    <row r="57" spans="1:37" x14ac:dyDescent="0.25">
      <c r="A57" s="5" t="s">
        <v>97</v>
      </c>
      <c r="B57" s="74" t="s">
        <v>98</v>
      </c>
      <c r="C57" s="5">
        <v>52</v>
      </c>
      <c r="D57" s="5">
        <v>52</v>
      </c>
      <c r="E57" s="131">
        <v>0.53</v>
      </c>
      <c r="F57" s="131">
        <v>0.17</v>
      </c>
      <c r="G57" s="131">
        <v>0.23</v>
      </c>
      <c r="H57" s="5" t="s">
        <v>697</v>
      </c>
      <c r="I57" s="5" t="s">
        <v>193</v>
      </c>
      <c r="J57" s="6">
        <v>4.3999999999999997E-2</v>
      </c>
      <c r="K57" t="str">
        <f t="shared" si="5"/>
        <v>RWD</v>
      </c>
      <c r="L57" s="9">
        <v>24</v>
      </c>
      <c r="M57">
        <v>16</v>
      </c>
      <c r="N57">
        <v>35</v>
      </c>
      <c r="O57">
        <f t="shared" si="6"/>
        <v>8</v>
      </c>
      <c r="P57">
        <f t="shared" si="7"/>
        <v>11</v>
      </c>
      <c r="Q57">
        <v>14</v>
      </c>
      <c r="R57">
        <v>23</v>
      </c>
      <c r="S57" s="9">
        <v>12.531610000000001</v>
      </c>
      <c r="T57" s="9">
        <v>36.84028</v>
      </c>
      <c r="U57" s="9">
        <f t="shared" si="8"/>
        <v>10.468389999999999</v>
      </c>
      <c r="V57" s="9">
        <f t="shared" si="9"/>
        <v>13.84028</v>
      </c>
      <c r="W57">
        <v>80</v>
      </c>
      <c r="X57">
        <v>64</v>
      </c>
      <c r="Y57">
        <f>IF('CEA Summary'!$O$4=2, L57, IF('CEA Summary'!$O$4=1,R57))</f>
        <v>24</v>
      </c>
      <c r="Z57" s="40">
        <f>IF('CEA Summary'!$O$4=2, O57, IF('CEA Summary'!$O$4=1, U57))</f>
        <v>8</v>
      </c>
      <c r="AA57" s="40">
        <f>IF('CEA Summary'!$O$4=2, P57, IF('CEA Summary'!$O$4=1, V57))</f>
        <v>11</v>
      </c>
      <c r="AB57" s="40">
        <f>IF('CEA Summary'!$O$4=2, Q57, IF('CEA Summary'!$O$4=1, W57))</f>
        <v>14</v>
      </c>
      <c r="AH57" s="156"/>
      <c r="AI57" s="157"/>
      <c r="AJ57" s="155"/>
      <c r="AK57" s="136"/>
    </row>
    <row r="58" spans="1:37" x14ac:dyDescent="0.25">
      <c r="A58" s="5" t="s">
        <v>79</v>
      </c>
      <c r="B58" s="74" t="s">
        <v>80</v>
      </c>
      <c r="C58" s="5">
        <v>43</v>
      </c>
      <c r="D58" s="5">
        <v>42</v>
      </c>
      <c r="E58" s="131">
        <v>0.93</v>
      </c>
      <c r="F58" s="131">
        <v>0.81</v>
      </c>
      <c r="G58" s="131">
        <v>0.85</v>
      </c>
      <c r="H58" s="5" t="s">
        <v>375</v>
      </c>
      <c r="I58" s="5" t="s">
        <v>667</v>
      </c>
      <c r="J58" s="6">
        <v>1.7999999999999999E-2</v>
      </c>
      <c r="K58" t="str">
        <f t="shared" si="5"/>
        <v>RRV</v>
      </c>
      <c r="L58" s="9">
        <v>10</v>
      </c>
      <c r="M58">
        <v>7</v>
      </c>
      <c r="N58">
        <v>13</v>
      </c>
      <c r="O58">
        <f t="shared" si="6"/>
        <v>3</v>
      </c>
      <c r="P58">
        <f t="shared" si="7"/>
        <v>3</v>
      </c>
      <c r="Q58">
        <v>14</v>
      </c>
      <c r="R58">
        <v>85</v>
      </c>
      <c r="S58" s="9">
        <v>70.826949999999997</v>
      </c>
      <c r="T58" s="9">
        <v>94.434260000000009</v>
      </c>
      <c r="U58" s="9">
        <f t="shared" si="8"/>
        <v>14.173050000000003</v>
      </c>
      <c r="V58" s="9">
        <f t="shared" si="9"/>
        <v>9.434260000000009</v>
      </c>
      <c r="W58">
        <v>80</v>
      </c>
      <c r="X58">
        <v>8</v>
      </c>
      <c r="Y58">
        <f>IF('CEA Summary'!$O$4=2, L58, IF('CEA Summary'!$O$4=1,R58))</f>
        <v>10</v>
      </c>
      <c r="Z58" s="40">
        <f>IF('CEA Summary'!$O$4=2, O58, IF('CEA Summary'!$O$4=1, U58))</f>
        <v>3</v>
      </c>
      <c r="AA58" s="40">
        <f>IF('CEA Summary'!$O$4=2, P58, IF('CEA Summary'!$O$4=1, V58))</f>
        <v>3</v>
      </c>
      <c r="AB58" s="40">
        <f>IF('CEA Summary'!$O$4=2, Q58, IF('CEA Summary'!$O$4=1, W58))</f>
        <v>14</v>
      </c>
      <c r="AH58" s="156"/>
      <c r="AI58" s="157"/>
      <c r="AJ58" s="155"/>
      <c r="AK58" s="136"/>
    </row>
    <row r="59" spans="1:37" x14ac:dyDescent="0.25">
      <c r="A59" s="5" t="s">
        <v>49</v>
      </c>
      <c r="B59" s="74" t="s">
        <v>50</v>
      </c>
      <c r="C59" s="5">
        <v>57</v>
      </c>
      <c r="D59" s="5">
        <v>56</v>
      </c>
      <c r="E59" s="131">
        <v>0.82</v>
      </c>
      <c r="F59" s="131">
        <v>0.67</v>
      </c>
      <c r="G59" s="131">
        <v>0.71</v>
      </c>
      <c r="H59" s="5" t="s">
        <v>679</v>
      </c>
      <c r="I59" s="5" t="s">
        <v>187</v>
      </c>
      <c r="J59" s="6">
        <v>3.4000000000000002E-2</v>
      </c>
      <c r="K59" t="str">
        <f t="shared" si="5"/>
        <v>RJE</v>
      </c>
      <c r="L59" s="9">
        <v>10</v>
      </c>
      <c r="M59">
        <v>8</v>
      </c>
      <c r="N59">
        <v>15</v>
      </c>
      <c r="O59">
        <f t="shared" si="6"/>
        <v>2</v>
      </c>
      <c r="P59">
        <f t="shared" si="7"/>
        <v>5</v>
      </c>
      <c r="Q59">
        <v>14</v>
      </c>
      <c r="R59">
        <v>71</v>
      </c>
      <c r="S59" s="9">
        <v>57.101739999999999</v>
      </c>
      <c r="T59" s="9">
        <v>82.370040000000003</v>
      </c>
      <c r="U59" s="9">
        <f t="shared" si="8"/>
        <v>13.898260000000001</v>
      </c>
      <c r="V59" s="9">
        <f t="shared" si="9"/>
        <v>11.370040000000003</v>
      </c>
      <c r="W59">
        <v>80</v>
      </c>
      <c r="X59">
        <v>10</v>
      </c>
      <c r="Y59">
        <f>IF('CEA Summary'!$O$4=2, L59, IF('CEA Summary'!$O$4=1,R59))</f>
        <v>10</v>
      </c>
      <c r="Z59" s="40">
        <f>IF('CEA Summary'!$O$4=2, O59, IF('CEA Summary'!$O$4=1, U59))</f>
        <v>2</v>
      </c>
      <c r="AA59" s="40">
        <f>IF('CEA Summary'!$O$4=2, P59, IF('CEA Summary'!$O$4=1, V59))</f>
        <v>5</v>
      </c>
      <c r="AB59" s="40">
        <f>IF('CEA Summary'!$O$4=2, Q59, IF('CEA Summary'!$O$4=1, W59))</f>
        <v>14</v>
      </c>
      <c r="AH59" s="156"/>
      <c r="AI59" s="157"/>
      <c r="AJ59" s="155"/>
      <c r="AK59" s="136"/>
    </row>
    <row r="60" spans="1:37" x14ac:dyDescent="0.25">
      <c r="A60" s="5" t="s">
        <v>39</v>
      </c>
      <c r="B60" s="74" t="s">
        <v>40</v>
      </c>
      <c r="C60" s="5">
        <v>69</v>
      </c>
      <c r="D60" s="5">
        <v>68</v>
      </c>
      <c r="E60" s="131">
        <v>0.81</v>
      </c>
      <c r="F60" s="131">
        <v>0.19</v>
      </c>
      <c r="G60" s="131">
        <v>0.49</v>
      </c>
      <c r="H60" s="5" t="s">
        <v>675</v>
      </c>
      <c r="I60" s="5" t="s">
        <v>189</v>
      </c>
      <c r="J60" s="6">
        <v>1.6E-2</v>
      </c>
      <c r="K60" t="str">
        <f t="shared" si="5"/>
        <v>RHM</v>
      </c>
      <c r="L60" s="9">
        <v>15</v>
      </c>
      <c r="M60">
        <v>11</v>
      </c>
      <c r="N60">
        <v>24</v>
      </c>
      <c r="O60">
        <f t="shared" si="6"/>
        <v>4</v>
      </c>
      <c r="P60">
        <f t="shared" si="7"/>
        <v>9</v>
      </c>
      <c r="Q60">
        <v>14</v>
      </c>
      <c r="R60">
        <v>49</v>
      </c>
      <c r="S60" s="9">
        <v>36.22081</v>
      </c>
      <c r="T60" s="9">
        <v>60.970179999999999</v>
      </c>
      <c r="U60" s="9">
        <f t="shared" si="8"/>
        <v>12.77919</v>
      </c>
      <c r="V60" s="9">
        <f t="shared" si="9"/>
        <v>11.970179999999999</v>
      </c>
      <c r="W60">
        <v>80</v>
      </c>
      <c r="X60">
        <v>40</v>
      </c>
      <c r="Y60">
        <f>IF('CEA Summary'!$O$4=2, L60, IF('CEA Summary'!$O$4=1,R60))</f>
        <v>15</v>
      </c>
      <c r="Z60" s="40">
        <f>IF('CEA Summary'!$O$4=2, O60, IF('CEA Summary'!$O$4=1, U60))</f>
        <v>4</v>
      </c>
      <c r="AA60" s="40">
        <f>IF('CEA Summary'!$O$4=2, P60, IF('CEA Summary'!$O$4=1, V60))</f>
        <v>9</v>
      </c>
      <c r="AB60" s="40">
        <f>IF('CEA Summary'!$O$4=2, Q60, IF('CEA Summary'!$O$4=1, W60))</f>
        <v>14</v>
      </c>
      <c r="AH60" s="156"/>
      <c r="AI60" s="157"/>
      <c r="AJ60" s="155"/>
      <c r="AK60" s="136"/>
    </row>
    <row r="61" spans="1:37" x14ac:dyDescent="0.25">
      <c r="A61" s="5" t="s">
        <v>360</v>
      </c>
      <c r="B61" s="74" t="s">
        <v>361</v>
      </c>
      <c r="C61" s="5">
        <v>45</v>
      </c>
      <c r="D61" s="5">
        <v>45</v>
      </c>
      <c r="E61" s="131">
        <v>0.8</v>
      </c>
      <c r="F61" s="131">
        <v>0.69</v>
      </c>
      <c r="G61" s="131">
        <v>0.82</v>
      </c>
      <c r="H61" s="5" t="s">
        <v>273</v>
      </c>
      <c r="I61" s="5" t="s">
        <v>187</v>
      </c>
      <c r="J61" s="6">
        <v>3.1E-2</v>
      </c>
      <c r="K61" t="str">
        <f t="shared" si="5"/>
        <v>RYR</v>
      </c>
      <c r="L61" s="9">
        <v>9</v>
      </c>
      <c r="M61">
        <v>7</v>
      </c>
      <c r="N61">
        <v>13</v>
      </c>
      <c r="O61">
        <f t="shared" si="6"/>
        <v>2</v>
      </c>
      <c r="P61">
        <f t="shared" si="7"/>
        <v>4</v>
      </c>
      <c r="Q61">
        <v>14</v>
      </c>
      <c r="R61">
        <v>82</v>
      </c>
      <c r="S61" s="9">
        <v>67.946579999999997</v>
      </c>
      <c r="T61" s="9">
        <v>91.998199999999997</v>
      </c>
      <c r="U61" s="9">
        <f t="shared" si="8"/>
        <v>14.053420000000003</v>
      </c>
      <c r="V61" s="9">
        <f t="shared" si="9"/>
        <v>9.9981999999999971</v>
      </c>
      <c r="W61">
        <v>80</v>
      </c>
      <c r="X61">
        <v>4</v>
      </c>
      <c r="Y61">
        <f>IF('CEA Summary'!$O$4=2, L61, IF('CEA Summary'!$O$4=1,R61))</f>
        <v>9</v>
      </c>
      <c r="Z61" s="40">
        <f>IF('CEA Summary'!$O$4=2, O61, IF('CEA Summary'!$O$4=1, U61))</f>
        <v>2</v>
      </c>
      <c r="AA61" s="40">
        <f>IF('CEA Summary'!$O$4=2, P61, IF('CEA Summary'!$O$4=1, V61))</f>
        <v>4</v>
      </c>
      <c r="AB61" s="40">
        <f>IF('CEA Summary'!$O$4=2, Q61, IF('CEA Summary'!$O$4=1, W61))</f>
        <v>14</v>
      </c>
      <c r="AH61" s="156"/>
      <c r="AI61" s="157"/>
      <c r="AJ61" s="155"/>
      <c r="AK61" s="136"/>
    </row>
    <row r="62" spans="1:37" x14ac:dyDescent="0.25">
      <c r="A62" s="5" t="s">
        <v>77</v>
      </c>
      <c r="B62" s="74" t="s">
        <v>78</v>
      </c>
      <c r="C62" s="5">
        <v>23</v>
      </c>
      <c r="D62" s="5">
        <v>22</v>
      </c>
      <c r="E62" s="131">
        <v>0.81</v>
      </c>
      <c r="F62" s="131">
        <v>0.68</v>
      </c>
      <c r="G62" s="131">
        <v>0.77</v>
      </c>
      <c r="H62" s="5" t="s">
        <v>691</v>
      </c>
      <c r="I62" s="5" t="s">
        <v>171</v>
      </c>
      <c r="J62" s="6">
        <v>2.3E-2</v>
      </c>
      <c r="K62" t="str">
        <f t="shared" si="5"/>
        <v>RRK</v>
      </c>
      <c r="L62" s="9">
        <v>13</v>
      </c>
      <c r="M62">
        <v>10</v>
      </c>
      <c r="N62">
        <v>14</v>
      </c>
      <c r="O62">
        <f t="shared" si="6"/>
        <v>3</v>
      </c>
      <c r="P62">
        <f t="shared" si="7"/>
        <v>1</v>
      </c>
      <c r="Q62">
        <v>14</v>
      </c>
      <c r="R62">
        <v>77</v>
      </c>
      <c r="S62" s="9">
        <v>54.629640000000002</v>
      </c>
      <c r="T62" s="9">
        <v>92.179379999999995</v>
      </c>
      <c r="U62" s="9">
        <f t="shared" si="8"/>
        <v>22.370359999999998</v>
      </c>
      <c r="V62" s="9">
        <f t="shared" si="9"/>
        <v>15.179379999999995</v>
      </c>
      <c r="W62">
        <v>80</v>
      </c>
      <c r="X62">
        <v>25</v>
      </c>
      <c r="Y62">
        <f>IF('CEA Summary'!$O$4=2, L62, IF('CEA Summary'!$O$4=1,R62))</f>
        <v>13</v>
      </c>
      <c r="Z62" s="40">
        <f>IF('CEA Summary'!$O$4=2, O62, IF('CEA Summary'!$O$4=1, U62))</f>
        <v>3</v>
      </c>
      <c r="AA62" s="40">
        <f>IF('CEA Summary'!$O$4=2, P62, IF('CEA Summary'!$O$4=1, V62))</f>
        <v>1</v>
      </c>
      <c r="AB62" s="40">
        <f>IF('CEA Summary'!$O$4=2, Q62, IF('CEA Summary'!$O$4=1, W62))</f>
        <v>14</v>
      </c>
      <c r="AH62" s="156"/>
      <c r="AI62" s="157"/>
      <c r="AJ62" s="155"/>
      <c r="AK62" s="136"/>
    </row>
    <row r="63" spans="1:37" x14ac:dyDescent="0.25">
      <c r="A63" s="5" t="s">
        <v>56</v>
      </c>
      <c r="B63" s="74" t="s">
        <v>57</v>
      </c>
      <c r="C63" s="5">
        <v>38</v>
      </c>
      <c r="D63" s="5">
        <v>37</v>
      </c>
      <c r="E63" s="131">
        <v>0.75</v>
      </c>
      <c r="F63" s="131">
        <v>0.42</v>
      </c>
      <c r="G63" s="131">
        <v>0.54</v>
      </c>
      <c r="H63" s="5" t="s">
        <v>683</v>
      </c>
      <c r="I63" s="5" t="s">
        <v>202</v>
      </c>
      <c r="J63" s="6">
        <v>1.9E-2</v>
      </c>
      <c r="K63" t="str">
        <f t="shared" si="5"/>
        <v>RKB</v>
      </c>
      <c r="L63" s="9">
        <v>12</v>
      </c>
      <c r="M63">
        <v>8</v>
      </c>
      <c r="N63">
        <v>26</v>
      </c>
      <c r="O63">
        <f t="shared" si="6"/>
        <v>4</v>
      </c>
      <c r="P63">
        <f t="shared" si="7"/>
        <v>14</v>
      </c>
      <c r="Q63">
        <v>14</v>
      </c>
      <c r="R63">
        <v>54</v>
      </c>
      <c r="S63" s="9">
        <v>36.921959999999999</v>
      </c>
      <c r="T63" s="9">
        <v>70.512690000000006</v>
      </c>
      <c r="U63" s="9">
        <f t="shared" si="8"/>
        <v>17.078040000000001</v>
      </c>
      <c r="V63" s="9">
        <f t="shared" si="9"/>
        <v>16.512690000000006</v>
      </c>
      <c r="W63">
        <v>80</v>
      </c>
      <c r="X63">
        <v>24</v>
      </c>
      <c r="Y63">
        <f>IF('CEA Summary'!$O$4=2, L63, IF('CEA Summary'!$O$4=1,R63))</f>
        <v>12</v>
      </c>
      <c r="Z63" s="40">
        <f>IF('CEA Summary'!$O$4=2, O63, IF('CEA Summary'!$O$4=1, U63))</f>
        <v>4</v>
      </c>
      <c r="AA63" s="40">
        <f>IF('CEA Summary'!$O$4=2, P63, IF('CEA Summary'!$O$4=1, V63))</f>
        <v>14</v>
      </c>
      <c r="AB63" s="40">
        <f>IF('CEA Summary'!$O$4=2, Q63, IF('CEA Summary'!$O$4=1, W63))</f>
        <v>14</v>
      </c>
      <c r="AH63" s="156"/>
      <c r="AI63" s="157"/>
      <c r="AJ63" s="155"/>
      <c r="AK63" s="136"/>
    </row>
    <row r="64" spans="1:37" x14ac:dyDescent="0.25">
      <c r="A64" s="5" t="s">
        <v>336</v>
      </c>
      <c r="B64" s="74" t="s">
        <v>337</v>
      </c>
      <c r="C64" s="5">
        <v>15</v>
      </c>
      <c r="D64" s="5">
        <v>15</v>
      </c>
      <c r="E64" s="131">
        <v>0.8</v>
      </c>
      <c r="F64" s="131">
        <v>0.2</v>
      </c>
      <c r="G64" s="131">
        <v>0.6</v>
      </c>
      <c r="H64" s="5" t="s">
        <v>661</v>
      </c>
      <c r="I64" s="5" t="s">
        <v>189</v>
      </c>
      <c r="J64" s="6">
        <v>0</v>
      </c>
      <c r="K64" t="str">
        <f t="shared" si="5"/>
        <v>R0D</v>
      </c>
      <c r="L64" s="9">
        <v>14</v>
      </c>
      <c r="M64">
        <v>10</v>
      </c>
      <c r="N64">
        <v>25</v>
      </c>
      <c r="O64">
        <f t="shared" si="6"/>
        <v>4</v>
      </c>
      <c r="P64">
        <f t="shared" si="7"/>
        <v>11</v>
      </c>
      <c r="Q64">
        <v>14</v>
      </c>
      <c r="R64">
        <v>60</v>
      </c>
      <c r="S64" s="9">
        <v>32.28698</v>
      </c>
      <c r="T64" s="9">
        <v>83.663560000000004</v>
      </c>
      <c r="U64" s="9">
        <f t="shared" si="8"/>
        <v>27.71302</v>
      </c>
      <c r="V64" s="9">
        <f t="shared" si="9"/>
        <v>23.663560000000004</v>
      </c>
      <c r="W64">
        <v>80</v>
      </c>
      <c r="X64">
        <v>37</v>
      </c>
      <c r="Y64">
        <f>IF('CEA Summary'!$O$4=2, L64, IF('CEA Summary'!$O$4=1,R64))</f>
        <v>14</v>
      </c>
      <c r="Z64" s="40">
        <f>IF('CEA Summary'!$O$4=2, O64, IF('CEA Summary'!$O$4=1, U64))</f>
        <v>4</v>
      </c>
      <c r="AA64" s="40">
        <f>IF('CEA Summary'!$O$4=2, P64, IF('CEA Summary'!$O$4=1, V64))</f>
        <v>11</v>
      </c>
      <c r="AB64" s="40">
        <f>IF('CEA Summary'!$O$4=2, Q64, IF('CEA Summary'!$O$4=1, W64))</f>
        <v>14</v>
      </c>
      <c r="AH64" s="156"/>
      <c r="AI64" s="157"/>
      <c r="AJ64" s="155"/>
      <c r="AK64" s="136"/>
    </row>
    <row r="65" spans="1:37" x14ac:dyDescent="0.25">
      <c r="A65" s="5" t="s">
        <v>87</v>
      </c>
      <c r="B65" s="74" t="s">
        <v>228</v>
      </c>
      <c r="C65" s="5">
        <v>37</v>
      </c>
      <c r="D65" s="5">
        <v>37</v>
      </c>
      <c r="E65" s="131">
        <v>0.66</v>
      </c>
      <c r="F65" s="131">
        <v>0.72</v>
      </c>
      <c r="G65" s="131">
        <v>0.7</v>
      </c>
      <c r="H65" s="5" t="s">
        <v>693</v>
      </c>
      <c r="I65" s="5" t="s">
        <v>190</v>
      </c>
      <c r="J65" s="6">
        <v>0</v>
      </c>
      <c r="K65" t="str">
        <f t="shared" si="5"/>
        <v>RTG</v>
      </c>
      <c r="L65" s="9">
        <v>9</v>
      </c>
      <c r="M65">
        <v>6</v>
      </c>
      <c r="N65">
        <v>16</v>
      </c>
      <c r="O65">
        <f t="shared" si="6"/>
        <v>3</v>
      </c>
      <c r="P65">
        <f t="shared" si="7"/>
        <v>7</v>
      </c>
      <c r="Q65">
        <v>14</v>
      </c>
      <c r="R65">
        <v>70</v>
      </c>
      <c r="S65" s="9">
        <v>53.020049999999998</v>
      </c>
      <c r="T65" s="9">
        <v>84.127459999999999</v>
      </c>
      <c r="U65" s="9">
        <f t="shared" si="8"/>
        <v>16.979950000000002</v>
      </c>
      <c r="V65" s="9">
        <f t="shared" si="9"/>
        <v>14.127459999999999</v>
      </c>
      <c r="W65">
        <v>80</v>
      </c>
      <c r="X65">
        <v>6</v>
      </c>
      <c r="Y65">
        <f>IF('CEA Summary'!$O$4=2, L65, IF('CEA Summary'!$O$4=1,R65))</f>
        <v>9</v>
      </c>
      <c r="Z65" s="40">
        <f>IF('CEA Summary'!$O$4=2, O65, IF('CEA Summary'!$O$4=1, U65))</f>
        <v>3</v>
      </c>
      <c r="AA65" s="40">
        <f>IF('CEA Summary'!$O$4=2, P65, IF('CEA Summary'!$O$4=1, V65))</f>
        <v>7</v>
      </c>
      <c r="AB65" s="40">
        <f>IF('CEA Summary'!$O$4=2, Q65, IF('CEA Summary'!$O$4=1, W65))</f>
        <v>14</v>
      </c>
      <c r="AH65" s="156"/>
      <c r="AI65" s="157"/>
      <c r="AJ65" s="155"/>
      <c r="AK65" s="136"/>
    </row>
    <row r="66" spans="1:37" x14ac:dyDescent="0.25">
      <c r="A66" s="5" t="s">
        <v>99</v>
      </c>
      <c r="B66" s="74" t="s">
        <v>100</v>
      </c>
      <c r="C66" s="5">
        <v>58</v>
      </c>
      <c r="D66" s="5">
        <v>57</v>
      </c>
      <c r="E66" s="131">
        <v>0.82</v>
      </c>
      <c r="F66" s="131">
        <v>0.43</v>
      </c>
      <c r="G66" s="131">
        <v>0.68</v>
      </c>
      <c r="H66" s="5" t="s">
        <v>698</v>
      </c>
      <c r="I66" s="5" t="s">
        <v>171</v>
      </c>
      <c r="J66" s="6">
        <v>0</v>
      </c>
      <c r="K66" t="str">
        <f t="shared" si="5"/>
        <v>RWE</v>
      </c>
      <c r="L66" s="9">
        <v>13</v>
      </c>
      <c r="M66">
        <v>9</v>
      </c>
      <c r="N66">
        <v>16</v>
      </c>
      <c r="O66">
        <f t="shared" si="6"/>
        <v>4</v>
      </c>
      <c r="P66">
        <f t="shared" si="7"/>
        <v>3</v>
      </c>
      <c r="Q66">
        <v>14</v>
      </c>
      <c r="R66">
        <v>68</v>
      </c>
      <c r="S66" s="9">
        <v>54.757019999999997</v>
      </c>
      <c r="T66" s="9">
        <v>80.094989999999996</v>
      </c>
      <c r="U66" s="9">
        <f t="shared" si="8"/>
        <v>13.242980000000003</v>
      </c>
      <c r="V66" s="9">
        <f t="shared" si="9"/>
        <v>12.094989999999996</v>
      </c>
      <c r="W66">
        <v>80</v>
      </c>
      <c r="X66">
        <v>26</v>
      </c>
      <c r="Y66">
        <f>IF('CEA Summary'!$O$4=2, L66, IF('CEA Summary'!$O$4=1,R66))</f>
        <v>13</v>
      </c>
      <c r="Z66" s="40">
        <f>IF('CEA Summary'!$O$4=2, O66, IF('CEA Summary'!$O$4=1, U66))</f>
        <v>4</v>
      </c>
      <c r="AA66" s="40">
        <f>IF('CEA Summary'!$O$4=2, P66, IF('CEA Summary'!$O$4=1, V66))</f>
        <v>3</v>
      </c>
      <c r="AB66" s="40">
        <f>IF('CEA Summary'!$O$4=2, Q66, IF('CEA Summary'!$O$4=1, W66))</f>
        <v>14</v>
      </c>
      <c r="AH66" s="156"/>
      <c r="AI66" s="157"/>
      <c r="AJ66" s="155"/>
      <c r="AK66" s="136"/>
    </row>
    <row r="67" spans="1:37" x14ac:dyDescent="0.25">
      <c r="A67" s="5" t="s">
        <v>55</v>
      </c>
      <c r="B67" s="74" t="s">
        <v>159</v>
      </c>
      <c r="C67" s="5">
        <v>43</v>
      </c>
      <c r="D67" s="5">
        <v>38</v>
      </c>
      <c r="E67" s="131">
        <v>0.69</v>
      </c>
      <c r="F67" s="131">
        <v>0.46</v>
      </c>
      <c r="G67" s="131">
        <v>0.47</v>
      </c>
      <c r="H67" s="5" t="s">
        <v>682</v>
      </c>
      <c r="I67" s="5" t="s">
        <v>185</v>
      </c>
      <c r="J67" s="6">
        <v>0.01</v>
      </c>
      <c r="K67" t="str">
        <f t="shared" si="5"/>
        <v>RK9</v>
      </c>
      <c r="L67" s="9">
        <v>15</v>
      </c>
      <c r="M67">
        <v>8</v>
      </c>
      <c r="N67">
        <v>28</v>
      </c>
      <c r="O67">
        <f t="shared" si="6"/>
        <v>7</v>
      </c>
      <c r="P67">
        <f t="shared" si="7"/>
        <v>13</v>
      </c>
      <c r="Q67">
        <v>14</v>
      </c>
      <c r="R67">
        <v>47</v>
      </c>
      <c r="S67" s="9">
        <v>30.980730000000001</v>
      </c>
      <c r="T67" s="9">
        <v>64.181659999999994</v>
      </c>
      <c r="U67" s="9">
        <f t="shared" si="8"/>
        <v>16.019269999999999</v>
      </c>
      <c r="V67" s="9">
        <f t="shared" si="9"/>
        <v>17.181659999999994</v>
      </c>
      <c r="W67">
        <v>80</v>
      </c>
      <c r="X67">
        <v>42</v>
      </c>
      <c r="Y67">
        <f>IF('CEA Summary'!$O$4=2, L67, IF('CEA Summary'!$O$4=1,R67))</f>
        <v>15</v>
      </c>
      <c r="Z67" s="40">
        <f>IF('CEA Summary'!$O$4=2, O67, IF('CEA Summary'!$O$4=1, U67))</f>
        <v>7</v>
      </c>
      <c r="AA67" s="40">
        <f>IF('CEA Summary'!$O$4=2, P67, IF('CEA Summary'!$O$4=1, V67))</f>
        <v>13</v>
      </c>
      <c r="AB67" s="40">
        <f>IF('CEA Summary'!$O$4=2, Q67, IF('CEA Summary'!$O$4=1, W67))</f>
        <v>14</v>
      </c>
      <c r="AH67" s="156"/>
      <c r="AI67" s="157"/>
      <c r="AJ67" s="155"/>
    </row>
    <row r="68" spans="1:37" x14ac:dyDescent="0.25">
      <c r="A68" s="5" t="s">
        <v>101</v>
      </c>
      <c r="B68" s="74" t="s">
        <v>102</v>
      </c>
      <c r="C68" s="5">
        <v>34</v>
      </c>
      <c r="D68" s="5">
        <v>34</v>
      </c>
      <c r="E68" s="131">
        <v>0.79</v>
      </c>
      <c r="F68" s="131">
        <v>0.53</v>
      </c>
      <c r="G68" s="131">
        <v>0.76</v>
      </c>
      <c r="H68" s="5" t="s">
        <v>699</v>
      </c>
      <c r="I68" s="5" t="s">
        <v>173</v>
      </c>
      <c r="J68" s="6">
        <v>0.03</v>
      </c>
      <c r="K68" t="str">
        <f t="shared" si="5"/>
        <v>RWG</v>
      </c>
      <c r="L68" s="9">
        <v>11</v>
      </c>
      <c r="M68">
        <v>7</v>
      </c>
      <c r="N68">
        <v>14</v>
      </c>
      <c r="O68">
        <f t="shared" si="6"/>
        <v>4</v>
      </c>
      <c r="P68">
        <f t="shared" si="7"/>
        <v>3</v>
      </c>
      <c r="Q68">
        <v>14</v>
      </c>
      <c r="R68">
        <v>76</v>
      </c>
      <c r="S68" s="9">
        <v>58.829220000000007</v>
      </c>
      <c r="T68" s="9">
        <v>89.25381999999999</v>
      </c>
      <c r="U68" s="9">
        <f t="shared" si="8"/>
        <v>17.170779999999993</v>
      </c>
      <c r="V68" s="9">
        <f t="shared" si="9"/>
        <v>13.25381999999999</v>
      </c>
      <c r="W68">
        <v>80</v>
      </c>
      <c r="X68">
        <v>13</v>
      </c>
      <c r="Y68">
        <f>IF('CEA Summary'!$O$4=2, L68, IF('CEA Summary'!$O$4=1,R68))</f>
        <v>11</v>
      </c>
      <c r="Z68" s="40">
        <f>IF('CEA Summary'!$O$4=2, O68, IF('CEA Summary'!$O$4=1, U68))</f>
        <v>4</v>
      </c>
      <c r="AA68" s="40">
        <f>IF('CEA Summary'!$O$4=2, P68, IF('CEA Summary'!$O$4=1, V68))</f>
        <v>3</v>
      </c>
      <c r="AB68" s="40">
        <f>IF('CEA Summary'!$O$4=2, Q68, IF('CEA Summary'!$O$4=1, W68))</f>
        <v>14</v>
      </c>
      <c r="AH68" s="156"/>
      <c r="AI68" s="157"/>
      <c r="AJ68" s="155"/>
    </row>
    <row r="69" spans="1:37" x14ac:dyDescent="0.25">
      <c r="A69" s="5" t="s">
        <v>105</v>
      </c>
      <c r="B69" s="74" t="s">
        <v>106</v>
      </c>
      <c r="C69" s="5">
        <v>50</v>
      </c>
      <c r="D69" s="5">
        <v>48</v>
      </c>
      <c r="E69" s="131">
        <v>1</v>
      </c>
      <c r="F69" s="131">
        <v>0.4</v>
      </c>
      <c r="G69" s="131">
        <v>0.71</v>
      </c>
      <c r="H69" s="5" t="s">
        <v>679</v>
      </c>
      <c r="I69" s="5" t="s">
        <v>187</v>
      </c>
      <c r="J69" s="6">
        <v>2.9000000000000001E-2</v>
      </c>
      <c r="K69" t="str">
        <f t="shared" si="5"/>
        <v>RWP</v>
      </c>
      <c r="L69" s="9">
        <v>10</v>
      </c>
      <c r="M69">
        <v>8</v>
      </c>
      <c r="N69">
        <v>15</v>
      </c>
      <c r="O69">
        <f t="shared" si="6"/>
        <v>2</v>
      </c>
      <c r="P69">
        <f t="shared" si="7"/>
        <v>5</v>
      </c>
      <c r="Q69">
        <v>14</v>
      </c>
      <c r="R69">
        <v>71</v>
      </c>
      <c r="S69" s="9">
        <v>55.936520000000002</v>
      </c>
      <c r="T69" s="9">
        <v>83.04692</v>
      </c>
      <c r="U69" s="9">
        <f t="shared" si="8"/>
        <v>15.063479999999998</v>
      </c>
      <c r="V69" s="9">
        <f t="shared" si="9"/>
        <v>12.04692</v>
      </c>
      <c r="W69">
        <v>80</v>
      </c>
      <c r="X69">
        <v>11</v>
      </c>
      <c r="Y69">
        <f>IF('CEA Summary'!$O$4=2, L69, IF('CEA Summary'!$O$4=1,R69))</f>
        <v>10</v>
      </c>
      <c r="Z69" s="40">
        <f>IF('CEA Summary'!$O$4=2, O69, IF('CEA Summary'!$O$4=1, U69))</f>
        <v>2</v>
      </c>
      <c r="AA69" s="40">
        <f>IF('CEA Summary'!$O$4=2, P69, IF('CEA Summary'!$O$4=1, V69))</f>
        <v>5</v>
      </c>
      <c r="AB69" s="40">
        <f>IF('CEA Summary'!$O$4=2, Q69, IF('CEA Summary'!$O$4=1, W69))</f>
        <v>14</v>
      </c>
      <c r="AH69" s="156"/>
      <c r="AI69" s="157"/>
      <c r="AJ69" s="155"/>
    </row>
    <row r="70" spans="1:37" x14ac:dyDescent="0.25">
      <c r="A70" s="5" t="s">
        <v>22</v>
      </c>
      <c r="B70" s="74" t="s">
        <v>23</v>
      </c>
      <c r="C70" s="5">
        <v>78</v>
      </c>
      <c r="D70" s="5">
        <v>73</v>
      </c>
      <c r="E70" s="131">
        <v>0.86</v>
      </c>
      <c r="F70" s="131">
        <v>0.83</v>
      </c>
      <c r="G70" s="131">
        <v>0.85</v>
      </c>
      <c r="H70" s="5" t="s">
        <v>667</v>
      </c>
      <c r="I70" s="5" t="s">
        <v>645</v>
      </c>
      <c r="J70" s="6">
        <v>2.7E-2</v>
      </c>
      <c r="K70" t="str">
        <f t="shared" si="5"/>
        <v>RCB</v>
      </c>
      <c r="L70" s="9">
        <v>5</v>
      </c>
      <c r="M70">
        <v>4</v>
      </c>
      <c r="N70">
        <v>8</v>
      </c>
      <c r="O70">
        <f t="shared" si="6"/>
        <v>1</v>
      </c>
      <c r="P70">
        <f t="shared" si="7"/>
        <v>3</v>
      </c>
      <c r="Q70">
        <v>14</v>
      </c>
      <c r="R70">
        <v>85</v>
      </c>
      <c r="S70" s="9">
        <v>74.635819999999995</v>
      </c>
      <c r="T70" s="9">
        <v>92.230429999999998</v>
      </c>
      <c r="U70" s="9">
        <f t="shared" si="8"/>
        <v>10.364180000000005</v>
      </c>
      <c r="V70" s="9">
        <f t="shared" si="9"/>
        <v>7.2304299999999984</v>
      </c>
      <c r="W70">
        <v>80</v>
      </c>
      <c r="X70">
        <v>1</v>
      </c>
      <c r="Y70">
        <f>IF('CEA Summary'!$O$4=2, L70, IF('CEA Summary'!$O$4=1,R70))</f>
        <v>5</v>
      </c>
      <c r="Z70" s="40">
        <f>IF('CEA Summary'!$O$4=2, O70, IF('CEA Summary'!$O$4=1, U70))</f>
        <v>1</v>
      </c>
      <c r="AA70" s="40">
        <f>IF('CEA Summary'!$O$4=2, P70, IF('CEA Summary'!$O$4=1, V70))</f>
        <v>3</v>
      </c>
      <c r="AB70" s="40">
        <f>IF('CEA Summary'!$O$4=2, Q70, IF('CEA Summary'!$O$4=1, W70))</f>
        <v>14</v>
      </c>
      <c r="AH70" s="156"/>
      <c r="AI70" s="157"/>
      <c r="AJ70" s="155"/>
    </row>
    <row r="71" spans="1:37" x14ac:dyDescent="0.25">
      <c r="AH71" s="24"/>
      <c r="AI71" s="155"/>
      <c r="AJ71" s="155"/>
    </row>
    <row r="72" spans="1:37" x14ac:dyDescent="0.25">
      <c r="AH72" s="24"/>
      <c r="AI72" s="155"/>
      <c r="AJ72" s="155"/>
    </row>
    <row r="73" spans="1:37" x14ac:dyDescent="0.25">
      <c r="AH73" s="24"/>
      <c r="AI73" s="155"/>
      <c r="AJ73" s="155"/>
    </row>
    <row r="74" spans="1:37" x14ac:dyDescent="0.25">
      <c r="AH74" s="24"/>
      <c r="AI74" s="155"/>
      <c r="AJ74" s="155"/>
    </row>
    <row r="75" spans="1:37" x14ac:dyDescent="0.25">
      <c r="AH75" s="24"/>
      <c r="AI75" s="155"/>
      <c r="AJ75" s="155"/>
    </row>
    <row r="76" spans="1:37" x14ac:dyDescent="0.25">
      <c r="AH76" s="24"/>
      <c r="AI76" s="155"/>
      <c r="AJ76" s="155"/>
    </row>
    <row r="77" spans="1:37" x14ac:dyDescent="0.25">
      <c r="AH77" s="24"/>
      <c r="AI77" s="155"/>
      <c r="AJ77" s="155"/>
    </row>
    <row r="78" spans="1:37" x14ac:dyDescent="0.25">
      <c r="AH78" s="24"/>
      <c r="AI78" s="155"/>
      <c r="AJ78" s="155"/>
    </row>
  </sheetData>
  <sortState ref="AG1:AJ78">
    <sortCondition ref="AJ1:AJ78"/>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workbookViewId="0">
      <selection activeCell="E3" sqref="E3"/>
    </sheetView>
  </sheetViews>
  <sheetFormatPr defaultRowHeight="15" x14ac:dyDescent="0.25"/>
  <cols>
    <col min="1" max="3" width="9.140625" style="41"/>
    <col min="4" max="4" width="9.140625" style="22"/>
    <col min="5" max="5" width="9.140625" style="41"/>
  </cols>
  <sheetData>
    <row r="1" spans="1:7" x14ac:dyDescent="0.25">
      <c r="A1" s="22" t="s">
        <v>238</v>
      </c>
      <c r="B1" s="22" t="s">
        <v>239</v>
      </c>
      <c r="C1" s="22" t="s">
        <v>241</v>
      </c>
      <c r="D1" s="22" t="s">
        <v>242</v>
      </c>
      <c r="E1" t="s">
        <v>714</v>
      </c>
      <c r="F1" t="s">
        <v>289</v>
      </c>
      <c r="G1" t="s">
        <v>715</v>
      </c>
    </row>
    <row r="2" spans="1:7" x14ac:dyDescent="0.25">
      <c r="A2" s="22" t="s">
        <v>240</v>
      </c>
      <c r="B2" s="22">
        <v>0</v>
      </c>
      <c r="C2" s="22">
        <v>60</v>
      </c>
      <c r="D2" s="22">
        <v>2.2000000000000002</v>
      </c>
      <c r="E2" s="22">
        <v>58</v>
      </c>
    </row>
    <row r="3" spans="1:7" x14ac:dyDescent="0.25">
      <c r="A3" s="22" t="s">
        <v>240</v>
      </c>
      <c r="B3">
        <v>3</v>
      </c>
      <c r="C3">
        <v>76.183499999999995</v>
      </c>
      <c r="D3" s="22">
        <v>2.2000000000000002</v>
      </c>
      <c r="E3">
        <v>54.05247</v>
      </c>
      <c r="F3">
        <v>0</v>
      </c>
      <c r="G3">
        <v>0</v>
      </c>
    </row>
    <row r="4" spans="1:7" x14ac:dyDescent="0.25">
      <c r="A4" s="22" t="s">
        <v>240</v>
      </c>
      <c r="B4">
        <v>4</v>
      </c>
      <c r="C4">
        <v>66.148070000000004</v>
      </c>
      <c r="D4" s="22">
        <v>2.2000000000000002</v>
      </c>
      <c r="E4">
        <v>43.163330000000002</v>
      </c>
      <c r="F4">
        <v>0</v>
      </c>
      <c r="G4">
        <v>0</v>
      </c>
    </row>
    <row r="5" spans="1:7" x14ac:dyDescent="0.25">
      <c r="A5" s="22" t="s">
        <v>240</v>
      </c>
      <c r="B5">
        <v>11</v>
      </c>
      <c r="C5">
        <v>30.37518</v>
      </c>
      <c r="D5" s="22">
        <v>2.2000000000000002</v>
      </c>
      <c r="E5">
        <v>18.077000000000002</v>
      </c>
      <c r="F5">
        <v>0</v>
      </c>
      <c r="G5">
        <v>0</v>
      </c>
    </row>
    <row r="6" spans="1:7" x14ac:dyDescent="0.25">
      <c r="A6" s="22" t="s">
        <v>240</v>
      </c>
      <c r="B6">
        <v>22</v>
      </c>
      <c r="C6">
        <v>18.972989999999999</v>
      </c>
      <c r="D6" s="22">
        <v>2.2000000000000002</v>
      </c>
      <c r="E6">
        <v>12.76923</v>
      </c>
      <c r="F6">
        <v>0</v>
      </c>
      <c r="G6">
        <v>0</v>
      </c>
    </row>
    <row r="7" spans="1:7" x14ac:dyDescent="0.25">
      <c r="A7" s="22" t="s">
        <v>240</v>
      </c>
      <c r="B7">
        <v>30</v>
      </c>
      <c r="C7">
        <v>16.123660000000001</v>
      </c>
      <c r="D7" s="22">
        <v>2.2000000000000002</v>
      </c>
      <c r="E7">
        <v>10.274559999999999</v>
      </c>
      <c r="F7">
        <v>0</v>
      </c>
      <c r="G7">
        <v>0</v>
      </c>
    </row>
    <row r="8" spans="1:7" x14ac:dyDescent="0.25">
      <c r="A8" s="22" t="s">
        <v>240</v>
      </c>
      <c r="B8">
        <v>42</v>
      </c>
      <c r="C8">
        <v>13.349539999999999</v>
      </c>
      <c r="D8" s="22">
        <v>2.2000000000000002</v>
      </c>
      <c r="E8">
        <v>8.9489099999999997</v>
      </c>
      <c r="F8">
        <v>0</v>
      </c>
      <c r="G8">
        <v>0</v>
      </c>
    </row>
    <row r="9" spans="1:7" x14ac:dyDescent="0.25">
      <c r="A9" s="22" t="s">
        <v>240</v>
      </c>
      <c r="B9">
        <v>43</v>
      </c>
      <c r="C9">
        <v>13.173109999999999</v>
      </c>
      <c r="D9" s="22">
        <v>2.2000000000000002</v>
      </c>
      <c r="E9">
        <v>8.8164149999999992</v>
      </c>
      <c r="F9">
        <v>0</v>
      </c>
      <c r="G9">
        <v>0</v>
      </c>
    </row>
    <row r="10" spans="1:7" x14ac:dyDescent="0.25">
      <c r="A10" s="22" t="s">
        <v>240</v>
      </c>
      <c r="B10">
        <v>51</v>
      </c>
      <c r="C10">
        <v>11.679029999999999</v>
      </c>
      <c r="D10" s="22">
        <v>2.2000000000000002</v>
      </c>
      <c r="E10">
        <v>7.8375430000000001</v>
      </c>
      <c r="F10">
        <v>0</v>
      </c>
      <c r="G10">
        <v>0</v>
      </c>
    </row>
    <row r="11" spans="1:7" x14ac:dyDescent="0.25">
      <c r="A11" s="22" t="s">
        <v>240</v>
      </c>
      <c r="B11">
        <v>54</v>
      </c>
      <c r="C11">
        <v>11.329409999999999</v>
      </c>
      <c r="D11" s="22">
        <v>2.2000000000000002</v>
      </c>
      <c r="E11">
        <v>7.7875540000000001</v>
      </c>
      <c r="F11">
        <v>0</v>
      </c>
      <c r="G11">
        <v>0</v>
      </c>
    </row>
    <row r="12" spans="1:7" x14ac:dyDescent="0.25">
      <c r="A12" s="22" t="s">
        <v>240</v>
      </c>
      <c r="B12">
        <v>59</v>
      </c>
      <c r="C12">
        <v>11.05048</v>
      </c>
      <c r="D12" s="22">
        <v>2.2000000000000002</v>
      </c>
      <c r="E12">
        <v>7.5888619999999998</v>
      </c>
      <c r="F12">
        <v>0</v>
      </c>
      <c r="G12">
        <v>0</v>
      </c>
    </row>
    <row r="13" spans="1:7" x14ac:dyDescent="0.25">
      <c r="A13" s="22" t="s">
        <v>240</v>
      </c>
      <c r="B13">
        <v>64</v>
      </c>
      <c r="C13">
        <v>10.56912</v>
      </c>
      <c r="D13" s="22">
        <v>2.2000000000000002</v>
      </c>
      <c r="E13">
        <v>7.3087650000000002</v>
      </c>
      <c r="F13">
        <v>0</v>
      </c>
      <c r="G13">
        <v>0</v>
      </c>
    </row>
    <row r="14" spans="1:7" x14ac:dyDescent="0.25">
      <c r="A14" s="22" t="s">
        <v>240</v>
      </c>
      <c r="B14">
        <v>66</v>
      </c>
      <c r="C14">
        <v>10.35703</v>
      </c>
      <c r="D14" s="22">
        <v>2.2000000000000002</v>
      </c>
      <c r="E14">
        <v>7.1877219999999999</v>
      </c>
      <c r="F14">
        <v>0</v>
      </c>
      <c r="G14">
        <v>0</v>
      </c>
    </row>
    <row r="15" spans="1:7" x14ac:dyDescent="0.25">
      <c r="A15" s="22" t="s">
        <v>240</v>
      </c>
      <c r="B15">
        <v>73</v>
      </c>
      <c r="C15">
        <v>9.6882780000000004</v>
      </c>
      <c r="D15" s="22">
        <v>2.2000000000000002</v>
      </c>
      <c r="E15">
        <v>6.7592480000000004</v>
      </c>
      <c r="F15">
        <v>0</v>
      </c>
      <c r="G15">
        <v>0</v>
      </c>
    </row>
    <row r="16" spans="1:7" x14ac:dyDescent="0.25">
      <c r="A16" s="22" t="s">
        <v>240</v>
      </c>
      <c r="B16">
        <v>83</v>
      </c>
      <c r="C16">
        <v>9.2745149999999992</v>
      </c>
      <c r="D16" s="22">
        <v>2.2000000000000002</v>
      </c>
      <c r="E16">
        <v>6.4946729999999997</v>
      </c>
      <c r="F16">
        <v>0</v>
      </c>
      <c r="G16">
        <v>0</v>
      </c>
    </row>
    <row r="17" spans="1:7" x14ac:dyDescent="0.25">
      <c r="A17" s="22" t="s">
        <v>240</v>
      </c>
      <c r="B17">
        <v>86</v>
      </c>
      <c r="C17">
        <v>9.0791719999999998</v>
      </c>
      <c r="D17" s="22">
        <v>2.2000000000000002</v>
      </c>
      <c r="E17">
        <v>6.4159420000000003</v>
      </c>
      <c r="F17">
        <v>0</v>
      </c>
      <c r="G17">
        <v>0</v>
      </c>
    </row>
    <row r="18" spans="1:7" x14ac:dyDescent="0.25">
      <c r="A18" s="22" t="s">
        <v>240</v>
      </c>
      <c r="B18">
        <v>87</v>
      </c>
      <c r="C18">
        <v>9.0115309999999997</v>
      </c>
      <c r="D18" s="22">
        <v>2.2000000000000002</v>
      </c>
      <c r="E18">
        <v>6.3865100000000004</v>
      </c>
      <c r="F18">
        <v>0</v>
      </c>
      <c r="G18">
        <v>0</v>
      </c>
    </row>
    <row r="19" spans="1:7" x14ac:dyDescent="0.25">
      <c r="A19" s="22" t="s">
        <v>240</v>
      </c>
      <c r="B19">
        <v>88</v>
      </c>
      <c r="C19">
        <v>8.9430999999999994</v>
      </c>
      <c r="D19" s="22">
        <v>2.2000000000000002</v>
      </c>
      <c r="E19">
        <v>6.3558269999999997</v>
      </c>
      <c r="F19">
        <v>0</v>
      </c>
      <c r="G19">
        <v>0</v>
      </c>
    </row>
    <row r="20" spans="1:7" x14ac:dyDescent="0.25">
      <c r="A20" s="22" t="s">
        <v>240</v>
      </c>
      <c r="B20">
        <v>90</v>
      </c>
      <c r="C20">
        <v>8.8047620000000002</v>
      </c>
      <c r="D20" s="22">
        <v>2.2000000000000002</v>
      </c>
      <c r="E20">
        <v>6.2913800000000002</v>
      </c>
      <c r="F20">
        <v>0</v>
      </c>
      <c r="G20">
        <v>0</v>
      </c>
    </row>
    <row r="21" spans="1:7" x14ac:dyDescent="0.25">
      <c r="A21" s="22" t="s">
        <v>240</v>
      </c>
      <c r="B21">
        <v>92</v>
      </c>
      <c r="C21">
        <v>8.6656589999999998</v>
      </c>
      <c r="D21" s="22">
        <v>2.2000000000000002</v>
      </c>
      <c r="E21">
        <v>6.2237840000000002</v>
      </c>
      <c r="F21">
        <v>0</v>
      </c>
      <c r="G21">
        <v>0</v>
      </c>
    </row>
    <row r="22" spans="1:7" x14ac:dyDescent="0.25">
      <c r="A22" s="22" t="s">
        <v>240</v>
      </c>
      <c r="B22">
        <v>93</v>
      </c>
      <c r="C22">
        <v>8.5961870000000005</v>
      </c>
      <c r="D22" s="22">
        <v>2.2000000000000002</v>
      </c>
      <c r="E22">
        <v>6.1891100000000003</v>
      </c>
      <c r="F22">
        <v>0</v>
      </c>
      <c r="G22">
        <v>0</v>
      </c>
    </row>
    <row r="23" spans="1:7" x14ac:dyDescent="0.25">
      <c r="A23" s="22" t="s">
        <v>240</v>
      </c>
      <c r="B23">
        <v>98</v>
      </c>
      <c r="C23">
        <v>8.5212780000000006</v>
      </c>
      <c r="D23" s="22">
        <v>2.2000000000000002</v>
      </c>
      <c r="E23">
        <v>6.0107350000000004</v>
      </c>
      <c r="F23">
        <v>0</v>
      </c>
      <c r="G23">
        <v>0</v>
      </c>
    </row>
    <row r="24" spans="1:7" x14ac:dyDescent="0.25">
      <c r="A24" s="22" t="s">
        <v>240</v>
      </c>
      <c r="B24">
        <v>99</v>
      </c>
      <c r="C24">
        <v>8.4954249999999991</v>
      </c>
      <c r="D24" s="22">
        <v>2.2000000000000002</v>
      </c>
      <c r="E24">
        <v>5.9745730000000004</v>
      </c>
      <c r="F24">
        <v>0</v>
      </c>
      <c r="G24">
        <v>0</v>
      </c>
    </row>
    <row r="25" spans="1:7" x14ac:dyDescent="0.25">
      <c r="A25" s="22" t="s">
        <v>240</v>
      </c>
      <c r="B25">
        <v>102</v>
      </c>
      <c r="C25">
        <v>8.3982930000000007</v>
      </c>
      <c r="D25" s="22">
        <v>2.2000000000000002</v>
      </c>
      <c r="E25">
        <v>5.866123</v>
      </c>
      <c r="F25">
        <v>0</v>
      </c>
      <c r="G25">
        <v>0</v>
      </c>
    </row>
    <row r="26" spans="1:7" x14ac:dyDescent="0.25">
      <c r="A26" s="22" t="s">
        <v>240</v>
      </c>
      <c r="B26">
        <v>108</v>
      </c>
      <c r="C26">
        <v>8.1475019999999994</v>
      </c>
      <c r="D26" s="22">
        <v>2.2000000000000002</v>
      </c>
      <c r="E26">
        <v>5.8104300000000002</v>
      </c>
      <c r="F26">
        <v>0</v>
      </c>
      <c r="G26">
        <v>0</v>
      </c>
    </row>
    <row r="27" spans="1:7" x14ac:dyDescent="0.25">
      <c r="A27" s="22" t="s">
        <v>240</v>
      </c>
      <c r="B27">
        <v>109</v>
      </c>
      <c r="C27">
        <v>8.1013579999999994</v>
      </c>
      <c r="D27" s="22">
        <v>2.2000000000000002</v>
      </c>
      <c r="E27">
        <v>5.7990219999999999</v>
      </c>
      <c r="F27">
        <v>0</v>
      </c>
      <c r="G27">
        <v>0</v>
      </c>
    </row>
    <row r="28" spans="1:7" x14ac:dyDescent="0.25">
      <c r="A28" s="22" t="s">
        <v>240</v>
      </c>
      <c r="B28">
        <v>112</v>
      </c>
      <c r="C28">
        <v>7.958977</v>
      </c>
      <c r="D28" s="22">
        <v>2.2000000000000002</v>
      </c>
      <c r="E28">
        <v>5.756291</v>
      </c>
      <c r="F28">
        <v>0</v>
      </c>
      <c r="G28">
        <v>0</v>
      </c>
    </row>
    <row r="29" spans="1:7" x14ac:dyDescent="0.25">
      <c r="A29" s="22" t="s">
        <v>240</v>
      </c>
      <c r="B29">
        <v>114</v>
      </c>
      <c r="C29">
        <v>7.861993</v>
      </c>
      <c r="D29" s="22">
        <v>2.2000000000000002</v>
      </c>
      <c r="E29">
        <v>5.72201</v>
      </c>
      <c r="F29">
        <v>0</v>
      </c>
      <c r="G29">
        <v>0</v>
      </c>
    </row>
    <row r="30" spans="1:7" x14ac:dyDescent="0.25">
      <c r="A30" s="22" t="s">
        <v>240</v>
      </c>
      <c r="B30">
        <v>118</v>
      </c>
      <c r="C30">
        <v>7.7718769999999999</v>
      </c>
      <c r="D30" s="22">
        <v>2.2000000000000002</v>
      </c>
      <c r="E30">
        <v>5.6433059999999999</v>
      </c>
      <c r="F30">
        <v>0</v>
      </c>
      <c r="G30">
        <v>0</v>
      </c>
    </row>
    <row r="31" spans="1:7" x14ac:dyDescent="0.25">
      <c r="A31" s="22" t="s">
        <v>240</v>
      </c>
      <c r="B31">
        <v>119</v>
      </c>
      <c r="C31">
        <v>7.762213</v>
      </c>
      <c r="D31" s="22">
        <v>2.2000000000000002</v>
      </c>
      <c r="E31">
        <v>5.622007</v>
      </c>
      <c r="F31">
        <v>0</v>
      </c>
      <c r="G31">
        <v>0</v>
      </c>
    </row>
    <row r="32" spans="1:7" x14ac:dyDescent="0.25">
      <c r="A32" s="22" t="s">
        <v>240</v>
      </c>
      <c r="B32">
        <v>121</v>
      </c>
      <c r="C32">
        <v>7.7333930000000004</v>
      </c>
      <c r="D32" s="22">
        <v>2.2000000000000002</v>
      </c>
      <c r="E32">
        <v>5.5779459999999998</v>
      </c>
      <c r="F32">
        <v>0</v>
      </c>
      <c r="G32">
        <v>0</v>
      </c>
    </row>
    <row r="33" spans="1:7" x14ac:dyDescent="0.25">
      <c r="A33" s="22" t="s">
        <v>240</v>
      </c>
      <c r="B33">
        <v>122</v>
      </c>
      <c r="C33">
        <v>7.7148859999999999</v>
      </c>
      <c r="D33" s="22">
        <v>2.2000000000000002</v>
      </c>
      <c r="E33">
        <v>5.5552999999999999</v>
      </c>
      <c r="F33">
        <v>0</v>
      </c>
      <c r="G33">
        <v>0</v>
      </c>
    </row>
    <row r="34" spans="1:7" x14ac:dyDescent="0.25">
      <c r="A34" s="22" t="s">
        <v>240</v>
      </c>
      <c r="B34">
        <v>123</v>
      </c>
      <c r="C34">
        <v>7.6940309999999998</v>
      </c>
      <c r="D34" s="22">
        <v>2.2000000000000002</v>
      </c>
      <c r="E34">
        <v>5.5323130000000003</v>
      </c>
      <c r="F34">
        <v>0</v>
      </c>
      <c r="G34">
        <v>0</v>
      </c>
    </row>
    <row r="35" spans="1:7" x14ac:dyDescent="0.25">
      <c r="A35" s="22" t="s">
        <v>240</v>
      </c>
      <c r="B35">
        <v>125</v>
      </c>
      <c r="C35">
        <v>7.6462529999999997</v>
      </c>
      <c r="D35" s="22">
        <v>2.2000000000000002</v>
      </c>
      <c r="E35">
        <v>5.4855</v>
      </c>
      <c r="F35">
        <v>0</v>
      </c>
      <c r="G35">
        <v>0</v>
      </c>
    </row>
    <row r="36" spans="1:7" x14ac:dyDescent="0.25">
      <c r="A36" s="22" t="s">
        <v>240</v>
      </c>
      <c r="B36">
        <v>134</v>
      </c>
      <c r="C36">
        <v>7.3670559999999998</v>
      </c>
      <c r="D36" s="22">
        <v>2.2000000000000002</v>
      </c>
      <c r="E36">
        <v>5.3325259999999997</v>
      </c>
      <c r="F36">
        <v>0</v>
      </c>
      <c r="G36">
        <v>0</v>
      </c>
    </row>
    <row r="37" spans="1:7" x14ac:dyDescent="0.25">
      <c r="A37" s="22" t="s">
        <v>240</v>
      </c>
      <c r="B37">
        <v>141</v>
      </c>
      <c r="C37">
        <v>7.1753470000000004</v>
      </c>
      <c r="D37" s="22">
        <v>2.2000000000000002</v>
      </c>
      <c r="E37">
        <v>5.2788700000000004</v>
      </c>
      <c r="F37">
        <v>0</v>
      </c>
      <c r="G37">
        <v>0</v>
      </c>
    </row>
    <row r="38" spans="1:7" x14ac:dyDescent="0.25">
      <c r="A38" s="22" t="s">
        <v>240</v>
      </c>
      <c r="B38">
        <v>148</v>
      </c>
      <c r="C38">
        <v>7.0955519999999996</v>
      </c>
      <c r="D38" s="22">
        <v>2.2000000000000002</v>
      </c>
      <c r="E38">
        <v>5.1874380000000002</v>
      </c>
      <c r="F38">
        <v>0</v>
      </c>
      <c r="G38">
        <v>0</v>
      </c>
    </row>
    <row r="39" spans="1:7" x14ac:dyDescent="0.25">
      <c r="A39" s="22" t="s">
        <v>240</v>
      </c>
      <c r="B39">
        <v>156</v>
      </c>
      <c r="C39">
        <v>6.9212150000000001</v>
      </c>
      <c r="D39" s="22">
        <v>2.2000000000000002</v>
      </c>
      <c r="E39">
        <v>5.058821</v>
      </c>
      <c r="F39">
        <v>0</v>
      </c>
      <c r="G39">
        <v>0</v>
      </c>
    </row>
    <row r="40" spans="1:7" x14ac:dyDescent="0.25">
      <c r="A40" s="22" t="s">
        <v>240</v>
      </c>
      <c r="B40">
        <v>157</v>
      </c>
      <c r="C40">
        <v>6.8959190000000001</v>
      </c>
      <c r="D40" s="22">
        <v>2.2000000000000002</v>
      </c>
      <c r="E40">
        <v>5.0417249999999996</v>
      </c>
      <c r="F40">
        <v>0</v>
      </c>
      <c r="G40">
        <v>0</v>
      </c>
    </row>
    <row r="41" spans="1:7" x14ac:dyDescent="0.25">
      <c r="A41" s="22" t="s">
        <v>240</v>
      </c>
      <c r="B41">
        <v>158</v>
      </c>
      <c r="C41">
        <v>6.8701030000000003</v>
      </c>
      <c r="D41" s="22">
        <v>2.2000000000000002</v>
      </c>
      <c r="E41">
        <v>5.0244819999999999</v>
      </c>
      <c r="F41">
        <v>0</v>
      </c>
      <c r="G41">
        <v>0</v>
      </c>
    </row>
    <row r="42" spans="1:7" x14ac:dyDescent="0.25">
      <c r="A42" s="22" t="s">
        <v>240</v>
      </c>
      <c r="B42">
        <v>160</v>
      </c>
      <c r="C42">
        <v>6.8171489999999997</v>
      </c>
      <c r="D42" s="22">
        <v>2.2000000000000002</v>
      </c>
      <c r="E42">
        <v>4.989636</v>
      </c>
      <c r="F42">
        <v>0</v>
      </c>
      <c r="G42">
        <v>0</v>
      </c>
    </row>
    <row r="43" spans="1:7" x14ac:dyDescent="0.25">
      <c r="A43" s="22" t="s">
        <v>240</v>
      </c>
      <c r="B43">
        <v>167</v>
      </c>
      <c r="C43">
        <v>6.7006490000000003</v>
      </c>
      <c r="D43" s="22">
        <v>2.2000000000000002</v>
      </c>
      <c r="E43">
        <v>4.9596030000000004</v>
      </c>
      <c r="F43">
        <v>0</v>
      </c>
      <c r="G43">
        <v>0</v>
      </c>
    </row>
    <row r="44" spans="1:7" x14ac:dyDescent="0.25">
      <c r="A44" s="22" t="s">
        <v>240</v>
      </c>
      <c r="B44">
        <v>168</v>
      </c>
      <c r="C44">
        <v>6.6946770000000004</v>
      </c>
      <c r="D44" s="22">
        <v>2.2000000000000002</v>
      </c>
      <c r="E44">
        <v>4.9539749999999998</v>
      </c>
      <c r="F44">
        <v>0</v>
      </c>
      <c r="G44" s="137">
        <v>1.99E-6</v>
      </c>
    </row>
    <row r="45" spans="1:7" x14ac:dyDescent="0.25">
      <c r="A45" s="22" t="s">
        <v>240</v>
      </c>
      <c r="B45">
        <v>174</v>
      </c>
      <c r="C45">
        <v>6.6292999999999997</v>
      </c>
      <c r="D45" s="22">
        <v>2.2000000000000002</v>
      </c>
      <c r="E45">
        <v>4.9075629999999997</v>
      </c>
      <c r="F45">
        <v>0</v>
      </c>
      <c r="G45">
        <v>2.1159999999999999E-4</v>
      </c>
    </row>
    <row r="46" spans="1:7" x14ac:dyDescent="0.25">
      <c r="A46" s="22" t="s">
        <v>240</v>
      </c>
      <c r="B46">
        <v>177</v>
      </c>
      <c r="C46">
        <v>6.582287</v>
      </c>
      <c r="D46" s="22">
        <v>2.2000000000000002</v>
      </c>
      <c r="E46">
        <v>4.8779469999999998</v>
      </c>
      <c r="F46">
        <v>0</v>
      </c>
      <c r="G46">
        <v>3.1629999999999999E-4</v>
      </c>
    </row>
    <row r="47" spans="1:7" x14ac:dyDescent="0.25">
      <c r="A47" s="22" t="s">
        <v>240</v>
      </c>
      <c r="B47">
        <v>184</v>
      </c>
      <c r="C47">
        <v>6.4495430000000002</v>
      </c>
      <c r="D47" s="22">
        <v>2.2000000000000002</v>
      </c>
      <c r="E47">
        <v>4.7977189999999998</v>
      </c>
      <c r="F47">
        <v>0</v>
      </c>
      <c r="G47">
        <v>5.6240000000000001E-4</v>
      </c>
    </row>
    <row r="48" spans="1:7" x14ac:dyDescent="0.25">
      <c r="A48" s="22" t="s">
        <v>240</v>
      </c>
      <c r="B48">
        <v>185</v>
      </c>
      <c r="C48">
        <v>6.4287409999999996</v>
      </c>
      <c r="D48" s="22">
        <v>2.2000000000000002</v>
      </c>
      <c r="E48">
        <v>4.7853180000000002</v>
      </c>
      <c r="F48">
        <v>0</v>
      </c>
      <c r="G48">
        <v>5.9800000000000001E-4</v>
      </c>
    </row>
    <row r="49" spans="1:7" x14ac:dyDescent="0.25">
      <c r="A49" s="22" t="s">
        <v>240</v>
      </c>
      <c r="B49">
        <v>195</v>
      </c>
      <c r="C49">
        <v>6.3117419999999997</v>
      </c>
      <c r="D49" s="22">
        <v>2.2000000000000002</v>
      </c>
      <c r="E49">
        <v>4.6987220000000001</v>
      </c>
      <c r="F49">
        <v>0</v>
      </c>
      <c r="G49">
        <v>9.613E-4</v>
      </c>
    </row>
    <row r="50" spans="1:7" x14ac:dyDescent="0.25">
      <c r="A50" s="22" t="s">
        <v>240</v>
      </c>
      <c r="B50">
        <v>199</v>
      </c>
      <c r="C50">
        <v>6.2766489999999999</v>
      </c>
      <c r="D50" s="22">
        <v>2.2000000000000002</v>
      </c>
      <c r="E50">
        <v>4.6849170000000004</v>
      </c>
      <c r="F50">
        <v>0</v>
      </c>
      <c r="G50">
        <v>1.1122E-3</v>
      </c>
    </row>
    <row r="51" spans="1:7" x14ac:dyDescent="0.25">
      <c r="A51" s="22" t="s">
        <v>240</v>
      </c>
      <c r="B51">
        <v>204</v>
      </c>
      <c r="C51">
        <v>6.2147769999999998</v>
      </c>
      <c r="D51" s="22">
        <v>2.2000000000000002</v>
      </c>
      <c r="E51">
        <v>4.6567090000000002</v>
      </c>
      <c r="F51">
        <v>0</v>
      </c>
      <c r="G51">
        <v>1.3068000000000001E-3</v>
      </c>
    </row>
    <row r="52" spans="1:7" x14ac:dyDescent="0.25">
      <c r="A52" s="22" t="s">
        <v>240</v>
      </c>
      <c r="B52">
        <v>205</v>
      </c>
      <c r="C52">
        <v>6.2005679999999996</v>
      </c>
      <c r="D52" s="22">
        <v>2.2000000000000002</v>
      </c>
      <c r="E52">
        <v>4.6498840000000001</v>
      </c>
      <c r="F52">
        <v>0</v>
      </c>
      <c r="G52">
        <v>1.3466000000000001E-3</v>
      </c>
    </row>
    <row r="53" spans="1:7" x14ac:dyDescent="0.25">
      <c r="A53" s="22" t="s">
        <v>240</v>
      </c>
      <c r="B53">
        <v>214</v>
      </c>
      <c r="C53">
        <v>6.0543990000000001</v>
      </c>
      <c r="D53" s="22">
        <v>2.2000000000000002</v>
      </c>
      <c r="E53">
        <v>4.5755020000000002</v>
      </c>
      <c r="F53">
        <v>0</v>
      </c>
      <c r="G53">
        <v>1.7208E-3</v>
      </c>
    </row>
    <row r="54" spans="1:7" x14ac:dyDescent="0.25">
      <c r="A54" s="22" t="s">
        <v>240</v>
      </c>
      <c r="B54">
        <v>224</v>
      </c>
      <c r="C54">
        <v>5.9888050000000002</v>
      </c>
      <c r="D54" s="22">
        <v>2.2000000000000002</v>
      </c>
      <c r="E54">
        <v>4.487247</v>
      </c>
      <c r="F54">
        <v>0</v>
      </c>
      <c r="G54">
        <v>2.1768E-3</v>
      </c>
    </row>
    <row r="55" spans="1:7" x14ac:dyDescent="0.25">
      <c r="A55" s="22" t="s">
        <v>240</v>
      </c>
      <c r="B55">
        <v>227</v>
      </c>
      <c r="C55">
        <v>5.9635949999999998</v>
      </c>
      <c r="D55" s="22">
        <v>2.2000000000000002</v>
      </c>
      <c r="E55">
        <v>4.4835609999999999</v>
      </c>
      <c r="F55">
        <v>0</v>
      </c>
      <c r="G55">
        <v>2.3235999999999999E-3</v>
      </c>
    </row>
    <row r="56" spans="1:7" x14ac:dyDescent="0.25">
      <c r="A56" s="22" t="s">
        <v>240</v>
      </c>
      <c r="B56">
        <v>232</v>
      </c>
      <c r="C56">
        <v>5.9101809999999997</v>
      </c>
      <c r="D56" s="22">
        <v>2.2000000000000002</v>
      </c>
      <c r="E56">
        <v>4.4684350000000004</v>
      </c>
      <c r="F56">
        <v>0</v>
      </c>
      <c r="G56">
        <v>2.5798000000000001E-3</v>
      </c>
    </row>
    <row r="57" spans="1:7" x14ac:dyDescent="0.25">
      <c r="A57" s="22" t="s">
        <v>240</v>
      </c>
      <c r="B57">
        <v>238</v>
      </c>
      <c r="C57">
        <v>5.8326380000000002</v>
      </c>
      <c r="D57" s="22">
        <v>2.2000000000000002</v>
      </c>
      <c r="E57">
        <v>4.4387600000000003</v>
      </c>
      <c r="F57">
        <v>0</v>
      </c>
      <c r="G57">
        <v>2.9087000000000002E-3</v>
      </c>
    </row>
    <row r="58" spans="1:7" x14ac:dyDescent="0.25">
      <c r="A58" s="22" t="s">
        <v>240</v>
      </c>
      <c r="B58">
        <v>239</v>
      </c>
      <c r="C58">
        <v>5.8186739999999997</v>
      </c>
      <c r="D58" s="22">
        <v>2.2000000000000002</v>
      </c>
      <c r="E58">
        <v>4.4328409999999998</v>
      </c>
      <c r="F58">
        <v>0</v>
      </c>
      <c r="G58">
        <v>2.9659999999999999E-3</v>
      </c>
    </row>
    <row r="59" spans="1:7" x14ac:dyDescent="0.25">
      <c r="A59" s="22" t="s">
        <v>240</v>
      </c>
      <c r="B59">
        <v>267</v>
      </c>
      <c r="C59">
        <v>5.5853729999999997</v>
      </c>
      <c r="D59" s="22">
        <v>2.2000000000000002</v>
      </c>
      <c r="E59">
        <v>4.2886030000000002</v>
      </c>
      <c r="F59">
        <v>0</v>
      </c>
      <c r="G59">
        <v>4.1472999999999996E-3</v>
      </c>
    </row>
    <row r="60" spans="1:7" x14ac:dyDescent="0.25">
      <c r="A60" s="22" t="s">
        <v>240</v>
      </c>
      <c r="B60">
        <v>293</v>
      </c>
      <c r="C60">
        <v>5.41127</v>
      </c>
      <c r="D60" s="22">
        <v>2.2000000000000002</v>
      </c>
      <c r="E60">
        <v>4.1654730000000004</v>
      </c>
      <c r="F60">
        <v>0</v>
      </c>
      <c r="G60">
        <v>4.7212E-3</v>
      </c>
    </row>
    <row r="61" spans="1:7" x14ac:dyDescent="0.25">
      <c r="A61" s="22" t="s">
        <v>240</v>
      </c>
      <c r="B61">
        <v>295</v>
      </c>
      <c r="C61">
        <v>5.3915509999999998</v>
      </c>
      <c r="D61" s="22">
        <v>2.2000000000000002</v>
      </c>
      <c r="E61">
        <v>4.1619159999999997</v>
      </c>
      <c r="F61">
        <v>0</v>
      </c>
      <c r="G61">
        <v>4.7755000000000002E-3</v>
      </c>
    </row>
    <row r="62" spans="1:7" x14ac:dyDescent="0.25">
      <c r="A62" s="22" t="s">
        <v>240</v>
      </c>
      <c r="B62">
        <v>336</v>
      </c>
      <c r="C62">
        <v>5.168857</v>
      </c>
      <c r="D62" s="22">
        <v>2.2000000000000002</v>
      </c>
      <c r="E62">
        <v>4.0233369999999997</v>
      </c>
      <c r="F62">
        <v>2.409E-4</v>
      </c>
      <c r="G62">
        <v>6.1206999999999998E-3</v>
      </c>
    </row>
    <row r="63" spans="1:7" x14ac:dyDescent="0.25">
      <c r="A63" s="22" t="s">
        <v>240</v>
      </c>
      <c r="B63">
        <v>350</v>
      </c>
      <c r="C63">
        <v>5.0927499999999997</v>
      </c>
      <c r="D63" s="22">
        <v>2.2000000000000002</v>
      </c>
      <c r="E63">
        <v>3.9680029999999999</v>
      </c>
      <c r="F63">
        <v>4.3429999999999999E-4</v>
      </c>
      <c r="G63">
        <v>6.2902000000000001E-3</v>
      </c>
    </row>
  </sheetData>
  <sortState ref="I2:N78">
    <sortCondition ref="J2:J78"/>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71"/>
  <sheetViews>
    <sheetView showGridLines="0" zoomScaleNormal="100" workbookViewId="0">
      <selection activeCell="B1" sqref="B1"/>
    </sheetView>
  </sheetViews>
  <sheetFormatPr defaultRowHeight="15" x14ac:dyDescent="0.25"/>
  <cols>
    <col min="1" max="1" width="12.42578125" bestFit="1" customWidth="1"/>
    <col min="2" max="2" width="68.140625" bestFit="1" customWidth="1"/>
    <col min="3" max="3" width="15.7109375" customWidth="1"/>
    <col min="4" max="4" width="10.28515625" bestFit="1" customWidth="1"/>
    <col min="5" max="5" width="13" customWidth="1"/>
    <col min="6" max="6" width="17.5703125" customWidth="1"/>
    <col min="7" max="7" width="17.85546875" customWidth="1"/>
    <col min="8" max="8" width="19.28515625" customWidth="1"/>
    <col min="9" max="9" width="16.7109375" customWidth="1"/>
    <col min="10" max="10" width="20.42578125" customWidth="1"/>
    <col min="11" max="11" width="16.140625" customWidth="1"/>
    <col min="12" max="12" width="38.140625" style="22" customWidth="1"/>
    <col min="13" max="13" width="16.85546875" style="128" bestFit="1" customWidth="1"/>
    <col min="14" max="15" width="9.140625" style="128" customWidth="1"/>
    <col min="16" max="26" width="9.140625" style="128"/>
    <col min="27" max="27" width="13.28515625" style="209" bestFit="1" customWidth="1"/>
    <col min="28" max="28" width="11.28515625" style="209" customWidth="1"/>
    <col min="29" max="29" width="11.85546875" style="209" customWidth="1"/>
    <col min="30" max="30" width="7.28515625" style="209" bestFit="1" customWidth="1"/>
    <col min="31" max="31" width="10.140625" style="209" bestFit="1" customWidth="1"/>
    <col min="32" max="32" width="61" style="209" bestFit="1" customWidth="1"/>
    <col min="33" max="33" width="12" style="209" bestFit="1" customWidth="1"/>
    <col min="34" max="34" width="7.28515625" style="209" customWidth="1"/>
    <col min="35" max="35" width="7.42578125" style="209" bestFit="1" customWidth="1"/>
    <col min="36" max="61" width="9.140625" style="128"/>
    <col min="62" max="62" width="9.140625" style="42"/>
  </cols>
  <sheetData>
    <row r="1" spans="1:49" ht="27" customHeight="1" x14ac:dyDescent="0.25">
      <c r="A1" s="12" t="s">
        <v>229</v>
      </c>
      <c r="B1" s="235" t="s">
        <v>291</v>
      </c>
      <c r="C1" s="22"/>
      <c r="AA1" s="200"/>
      <c r="AB1" s="201" t="s">
        <v>369</v>
      </c>
      <c r="AC1" s="201"/>
      <c r="AD1" s="202" t="s">
        <v>370</v>
      </c>
      <c r="AE1" s="203" t="s">
        <v>140</v>
      </c>
      <c r="AF1" s="203" t="s">
        <v>139</v>
      </c>
      <c r="AG1" s="204" t="s">
        <v>367</v>
      </c>
      <c r="AH1" s="205" t="s">
        <v>365</v>
      </c>
      <c r="AI1" s="205" t="s">
        <v>366</v>
      </c>
      <c r="AJ1" s="204" t="s">
        <v>236</v>
      </c>
      <c r="AK1" s="204" t="s">
        <v>237</v>
      </c>
      <c r="AL1" s="204"/>
      <c r="AM1" s="206" t="s">
        <v>140</v>
      </c>
      <c r="AN1" s="206" t="s">
        <v>568</v>
      </c>
      <c r="AO1" s="207" t="s">
        <v>565</v>
      </c>
      <c r="AP1" s="208" t="s">
        <v>328</v>
      </c>
      <c r="AQ1" s="208" t="s">
        <v>287</v>
      </c>
      <c r="AR1" s="208" t="s">
        <v>288</v>
      </c>
      <c r="AS1" s="208" t="s">
        <v>319</v>
      </c>
      <c r="AT1" s="204" t="s">
        <v>719</v>
      </c>
      <c r="AU1" s="204" t="s">
        <v>720</v>
      </c>
      <c r="AV1" s="204" t="s">
        <v>722</v>
      </c>
      <c r="AW1" s="204" t="s">
        <v>723</v>
      </c>
    </row>
    <row r="2" spans="1:49" x14ac:dyDescent="0.25">
      <c r="AB2" s="210">
        <f>VLOOKUP($B$1,'AAA Summary'!$AF:$AK,3,FALSE)</f>
        <v>1</v>
      </c>
      <c r="AC2" s="210"/>
      <c r="AD2" s="210">
        <f>VLOOKUP($B$1,'AAA Summary'!$AF:$AK,2,FALSE)</f>
        <v>1</v>
      </c>
      <c r="AE2" s="128" t="s">
        <v>30</v>
      </c>
      <c r="AF2" s="211" t="s">
        <v>291</v>
      </c>
      <c r="AG2" s="128">
        <v>1</v>
      </c>
      <c r="AH2" s="212">
        <v>1</v>
      </c>
      <c r="AI2" s="212">
        <v>0</v>
      </c>
      <c r="AJ2" s="128">
        <f>VLOOKUP($C53,'AAA Funnel'!$A:$C,2,FALSE)</f>
        <v>51</v>
      </c>
      <c r="AK2" s="128">
        <f>VLOOKUP($C53,'AAA Funnel'!$A:$C,3,FALSE)</f>
        <v>1.537507</v>
      </c>
      <c r="AM2" s="213" t="s">
        <v>60</v>
      </c>
      <c r="AN2" s="211" t="s">
        <v>61</v>
      </c>
      <c r="AO2" s="214">
        <v>1</v>
      </c>
      <c r="AP2" s="214">
        <f>VLOOKUP($AM2,'Elective Infra-Renal AAA Repair'!$A$7:$AP$74,39,FALSE)</f>
        <v>41</v>
      </c>
      <c r="AQ2" s="214">
        <f>VLOOKUP($AM2,'Elective Infra-Renal AAA Repair'!$A$7:$AP$74,40,FALSE)</f>
        <v>18</v>
      </c>
      <c r="AR2" s="214">
        <f>VLOOKUP($AM2,'Elective Infra-Renal AAA Repair'!$A$7:$AP$74,41,FALSE)</f>
        <v>39</v>
      </c>
      <c r="AS2" s="214">
        <f>VLOOKUP($AM2,'Elective Infra-Renal AAA Repair'!$A$7:$AP$74,42,FALSE)</f>
        <v>56</v>
      </c>
      <c r="AT2" s="209">
        <f>VLOOKUP($B$1,'Elective Infra-Renal AAA Repair'!$B$8:$AP$74,38,FALSE)</f>
        <v>71</v>
      </c>
      <c r="AU2" s="209">
        <f>VLOOKUP($B$1,'Elective Infra-Renal AAA Repair'!$B$8:$AP$74,37,FALSE)</f>
        <v>22</v>
      </c>
      <c r="AV2" s="209">
        <f>VLOOKUP($B$1,'Elective Infra-Renal AAA Repair'!$B$8:$AP$74,40,FALSE)</f>
        <v>76</v>
      </c>
      <c r="AW2" s="209">
        <f>VLOOKUP($B$1,'Elective Infra-Renal AAA Repair'!$B$8:$AP$74,39,FALSE)</f>
        <v>11</v>
      </c>
    </row>
    <row r="3" spans="1:49" x14ac:dyDescent="0.25">
      <c r="AB3" s="209" t="s">
        <v>368</v>
      </c>
      <c r="AD3" s="209" t="s">
        <v>247</v>
      </c>
      <c r="AE3" s="128" t="s">
        <v>53</v>
      </c>
      <c r="AF3" s="211" t="s">
        <v>54</v>
      </c>
      <c r="AG3" s="128">
        <v>2</v>
      </c>
      <c r="AH3" s="212">
        <v>1</v>
      </c>
      <c r="AI3" s="212">
        <v>0</v>
      </c>
      <c r="AM3" s="213" t="s">
        <v>37</v>
      </c>
      <c r="AN3" s="211" t="s">
        <v>596</v>
      </c>
      <c r="AO3" s="214">
        <v>2</v>
      </c>
      <c r="AP3" s="214">
        <f>VLOOKUP($AM3,'Elective Infra-Renal AAA Repair'!$A$7:$AP$74,39,FALSE)</f>
        <v>47</v>
      </c>
      <c r="AQ3" s="214">
        <f>VLOOKUP($AM3,'Elective Infra-Renal AAA Repair'!$A$7:$AP$74,40,FALSE)</f>
        <v>12</v>
      </c>
      <c r="AR3" s="214">
        <f>VLOOKUP($AM3,'Elective Infra-Renal AAA Repair'!$A$7:$AP$74,41,FALSE)</f>
        <v>21</v>
      </c>
      <c r="AS3" s="214">
        <f>VLOOKUP($AM3,'Elective Infra-Renal AAA Repair'!$A$7:$AP$74,42,FALSE)</f>
        <v>56</v>
      </c>
    </row>
    <row r="4" spans="1:49" x14ac:dyDescent="0.25">
      <c r="AB4" s="209">
        <f>VLOOKUP($B$1,'Elective Infra-Renal AAA Repair'!$B$8:$U$75,20,FALSE)</f>
        <v>0.94</v>
      </c>
      <c r="AD4" s="209">
        <f>VLOOKUP($B$1,'Elective Infra-Renal AAA Repair'!$B$8:$U$75,19,FALSE)</f>
        <v>29</v>
      </c>
      <c r="AE4" s="128" t="s">
        <v>129</v>
      </c>
      <c r="AF4" s="211" t="s">
        <v>130</v>
      </c>
      <c r="AG4" s="128">
        <v>3</v>
      </c>
      <c r="AH4" s="212">
        <v>1</v>
      </c>
      <c r="AI4" s="212">
        <v>0</v>
      </c>
      <c r="AM4" s="213" t="s">
        <v>64</v>
      </c>
      <c r="AN4" s="211" t="s">
        <v>65</v>
      </c>
      <c r="AO4" s="214">
        <v>3</v>
      </c>
      <c r="AP4" s="214">
        <f>VLOOKUP($AM4,'Elective Infra-Renal AAA Repair'!$A$7:$AP$74,39,FALSE)</f>
        <v>48</v>
      </c>
      <c r="AQ4" s="214">
        <f>VLOOKUP($AM4,'Elective Infra-Renal AAA Repair'!$A$7:$AP$74,40,FALSE)</f>
        <v>34</v>
      </c>
      <c r="AR4" s="214">
        <f>VLOOKUP($AM4,'Elective Infra-Renal AAA Repair'!$A$7:$AP$74,41,FALSE)</f>
        <v>67</v>
      </c>
      <c r="AS4" s="214">
        <f>VLOOKUP($AM4,'Elective Infra-Renal AAA Repair'!$A$7:$AP$74,42,FALSE)</f>
        <v>56</v>
      </c>
    </row>
    <row r="5" spans="1:49" x14ac:dyDescent="0.25">
      <c r="AE5" s="128" t="s">
        <v>13</v>
      </c>
      <c r="AF5" s="211" t="s">
        <v>14</v>
      </c>
      <c r="AG5" s="128">
        <v>4</v>
      </c>
      <c r="AH5" s="212">
        <v>1</v>
      </c>
      <c r="AI5" s="212">
        <v>0</v>
      </c>
      <c r="AM5" s="213" t="s">
        <v>27</v>
      </c>
      <c r="AN5" s="211" t="s">
        <v>28</v>
      </c>
      <c r="AO5" s="214">
        <v>4</v>
      </c>
      <c r="AP5" s="214">
        <f>VLOOKUP($AM5,'Elective Infra-Renal AAA Repair'!$A$7:$AP$74,39,FALSE)</f>
        <v>50</v>
      </c>
      <c r="AQ5" s="214">
        <f>VLOOKUP($AM5,'Elective Infra-Renal AAA Repair'!$A$7:$AP$74,40,FALSE)</f>
        <v>10</v>
      </c>
      <c r="AR5" s="214">
        <f>VLOOKUP($AM5,'Elective Infra-Renal AAA Repair'!$A$7:$AP$74,41,FALSE)</f>
        <v>33</v>
      </c>
      <c r="AS5" s="214">
        <f>VLOOKUP($AM5,'Elective Infra-Renal AAA Repair'!$A$7:$AP$74,42,FALSE)</f>
        <v>56</v>
      </c>
    </row>
    <row r="6" spans="1:49" x14ac:dyDescent="0.25">
      <c r="AE6" s="128" t="s">
        <v>47</v>
      </c>
      <c r="AF6" s="211" t="s">
        <v>48</v>
      </c>
      <c r="AG6" s="128">
        <v>5</v>
      </c>
      <c r="AH6" s="212">
        <v>0.95</v>
      </c>
      <c r="AI6" s="212">
        <v>0.05</v>
      </c>
      <c r="AM6" s="213" t="s">
        <v>125</v>
      </c>
      <c r="AN6" s="211" t="s">
        <v>126</v>
      </c>
      <c r="AO6" s="214">
        <v>5</v>
      </c>
      <c r="AP6" s="214">
        <f>VLOOKUP($AM6,'Elective Infra-Renal AAA Repair'!$A$7:$AP$74,39,FALSE)</f>
        <v>52</v>
      </c>
      <c r="AQ6" s="214">
        <f>VLOOKUP($AM6,'Elective Infra-Renal AAA Repair'!$A$7:$AP$74,40,FALSE)</f>
        <v>33</v>
      </c>
      <c r="AR6" s="214">
        <f>VLOOKUP($AM6,'Elective Infra-Renal AAA Repair'!$A$7:$AP$74,41,FALSE)</f>
        <v>53</v>
      </c>
      <c r="AS6" s="214">
        <f>VLOOKUP($AM6,'Elective Infra-Renal AAA Repair'!$A$7:$AP$74,42,FALSE)</f>
        <v>56</v>
      </c>
    </row>
    <row r="7" spans="1:49" x14ac:dyDescent="0.25">
      <c r="AE7" s="128" t="s">
        <v>103</v>
      </c>
      <c r="AF7" s="211" t="s">
        <v>104</v>
      </c>
      <c r="AG7" s="128">
        <v>6</v>
      </c>
      <c r="AH7" s="212">
        <v>0.9</v>
      </c>
      <c r="AI7" s="212">
        <v>0.1</v>
      </c>
      <c r="AM7" s="213" t="s">
        <v>123</v>
      </c>
      <c r="AN7" s="211" t="s">
        <v>124</v>
      </c>
      <c r="AO7" s="214">
        <v>6</v>
      </c>
      <c r="AP7" s="214">
        <f>VLOOKUP($AM7,'Elective Infra-Renal AAA Repair'!$A$7:$AP$74,39,FALSE)</f>
        <v>52</v>
      </c>
      <c r="AQ7" s="214">
        <f>VLOOKUP($AM7,'Elective Infra-Renal AAA Repair'!$A$7:$AP$74,40,FALSE)</f>
        <v>19</v>
      </c>
      <c r="AR7" s="214">
        <f>VLOOKUP($AM7,'Elective Infra-Renal AAA Repair'!$A$7:$AP$74,41,FALSE)</f>
        <v>55</v>
      </c>
      <c r="AS7" s="214">
        <f>VLOOKUP($AM7,'Elective Infra-Renal AAA Repair'!$A$7:$AP$74,42,FALSE)</f>
        <v>56</v>
      </c>
    </row>
    <row r="8" spans="1:49" x14ac:dyDescent="0.25">
      <c r="AE8" s="128" t="s">
        <v>51</v>
      </c>
      <c r="AF8" s="211" t="s">
        <v>52</v>
      </c>
      <c r="AG8" s="128">
        <v>7</v>
      </c>
      <c r="AH8" s="212">
        <v>0.89</v>
      </c>
      <c r="AI8" s="212">
        <v>0.11</v>
      </c>
      <c r="AM8" s="213" t="s">
        <v>15</v>
      </c>
      <c r="AN8" s="211" t="s">
        <v>16</v>
      </c>
      <c r="AO8" s="214">
        <v>7</v>
      </c>
      <c r="AP8" s="214">
        <f>VLOOKUP($AM8,'Elective Infra-Renal AAA Repair'!$A$7:$AP$74,39,FALSE)</f>
        <v>53</v>
      </c>
      <c r="AQ8" s="214">
        <f>VLOOKUP($AM8,'Elective Infra-Renal AAA Repair'!$A$7:$AP$74,40,FALSE)</f>
        <v>14</v>
      </c>
      <c r="AR8" s="214">
        <f>VLOOKUP($AM8,'Elective Infra-Renal AAA Repair'!$A$7:$AP$74,41,FALSE)</f>
        <v>31</v>
      </c>
      <c r="AS8" s="214">
        <f>VLOOKUP($AM8,'Elective Infra-Renal AAA Repair'!$A$7:$AP$74,42,FALSE)</f>
        <v>56</v>
      </c>
    </row>
    <row r="9" spans="1:49" x14ac:dyDescent="0.25">
      <c r="AE9" s="128" t="s">
        <v>71</v>
      </c>
      <c r="AF9" s="211" t="s">
        <v>72</v>
      </c>
      <c r="AG9" s="128">
        <v>8</v>
      </c>
      <c r="AH9" s="212">
        <v>0.89</v>
      </c>
      <c r="AI9" s="212">
        <v>0.11</v>
      </c>
      <c r="AM9" s="213" t="s">
        <v>41</v>
      </c>
      <c r="AN9" s="211" t="s">
        <v>42</v>
      </c>
      <c r="AO9" s="214">
        <v>8</v>
      </c>
      <c r="AP9" s="214">
        <f>VLOOKUP($AM9,'Elective Infra-Renal AAA Repair'!$A$7:$AP$74,39,FALSE)</f>
        <v>56</v>
      </c>
      <c r="AQ9" s="214">
        <f>VLOOKUP($AM9,'Elective Infra-Renal AAA Repair'!$A$7:$AP$74,40,FALSE)</f>
        <v>21</v>
      </c>
      <c r="AR9" s="214">
        <f>VLOOKUP($AM9,'Elective Infra-Renal AAA Repair'!$A$7:$AP$74,41,FALSE)</f>
        <v>45</v>
      </c>
      <c r="AS9" s="214">
        <f>VLOOKUP($AM9,'Elective Infra-Renal AAA Repair'!$A$7:$AP$74,42,FALSE)</f>
        <v>56</v>
      </c>
    </row>
    <row r="10" spans="1:49" x14ac:dyDescent="0.25">
      <c r="AE10" s="128" t="s">
        <v>417</v>
      </c>
      <c r="AF10" s="211" t="s">
        <v>418</v>
      </c>
      <c r="AG10" s="128">
        <v>9</v>
      </c>
      <c r="AH10" s="212">
        <v>0.88</v>
      </c>
      <c r="AI10" s="212">
        <v>0.12</v>
      </c>
      <c r="AM10" s="213" t="s">
        <v>115</v>
      </c>
      <c r="AN10" s="211" t="s">
        <v>116</v>
      </c>
      <c r="AO10" s="214">
        <v>9</v>
      </c>
      <c r="AP10" s="214">
        <f>VLOOKUP($AM10,'Elective Infra-Renal AAA Repair'!$A$7:$AP$74,39,FALSE)</f>
        <v>57</v>
      </c>
      <c r="AQ10" s="214">
        <f>VLOOKUP($AM10,'Elective Infra-Renal AAA Repair'!$A$7:$AP$74,40,FALSE)</f>
        <v>26</v>
      </c>
      <c r="AR10" s="214">
        <f>VLOOKUP($AM10,'Elective Infra-Renal AAA Repair'!$A$7:$AP$74,41,FALSE)</f>
        <v>30</v>
      </c>
      <c r="AS10" s="214">
        <f>VLOOKUP($AM10,'Elective Infra-Renal AAA Repair'!$A$7:$AP$74,42,FALSE)</f>
        <v>56</v>
      </c>
    </row>
    <row r="11" spans="1:49" x14ac:dyDescent="0.25">
      <c r="AE11" s="128" t="s">
        <v>17</v>
      </c>
      <c r="AF11" s="211" t="s">
        <v>339</v>
      </c>
      <c r="AG11" s="128">
        <v>10</v>
      </c>
      <c r="AH11" s="212">
        <v>0.84</v>
      </c>
      <c r="AI11" s="212">
        <v>0.16</v>
      </c>
      <c r="AM11" s="213" t="s">
        <v>51</v>
      </c>
      <c r="AN11" s="211" t="s">
        <v>52</v>
      </c>
      <c r="AO11" s="214">
        <v>10</v>
      </c>
      <c r="AP11" s="214">
        <f>VLOOKUP($AM11,'Elective Infra-Renal AAA Repair'!$A$7:$AP$74,39,FALSE)</f>
        <v>59</v>
      </c>
      <c r="AQ11" s="214">
        <f>VLOOKUP($AM11,'Elective Infra-Renal AAA Repair'!$A$7:$AP$74,40,FALSE)</f>
        <v>32</v>
      </c>
      <c r="AR11" s="214">
        <f>VLOOKUP($AM11,'Elective Infra-Renal AAA Repair'!$A$7:$AP$74,41,FALSE)</f>
        <v>52</v>
      </c>
      <c r="AS11" s="214">
        <f>VLOOKUP($AM11,'Elective Infra-Renal AAA Repair'!$A$7:$AP$74,42,FALSE)</f>
        <v>56</v>
      </c>
    </row>
    <row r="12" spans="1:49" x14ac:dyDescent="0.25">
      <c r="AE12" s="128" t="s">
        <v>0</v>
      </c>
      <c r="AF12" s="211" t="s">
        <v>1</v>
      </c>
      <c r="AG12" s="128">
        <v>11</v>
      </c>
      <c r="AH12" s="212">
        <v>0.83</v>
      </c>
      <c r="AI12" s="212">
        <v>0.17</v>
      </c>
      <c r="AM12" s="213" t="s">
        <v>417</v>
      </c>
      <c r="AN12" s="211" t="s">
        <v>418</v>
      </c>
      <c r="AO12" s="214">
        <v>11</v>
      </c>
      <c r="AP12" s="214">
        <f>VLOOKUP($AM12,'Elective Infra-Renal AAA Repair'!$A$7:$AP$74,39,FALSE)</f>
        <v>59</v>
      </c>
      <c r="AQ12" s="214">
        <f>VLOOKUP($AM12,'Elective Infra-Renal AAA Repair'!$A$7:$AP$74,40,FALSE)</f>
        <v>24</v>
      </c>
      <c r="AR12" s="214">
        <f>VLOOKUP($AM12,'Elective Infra-Renal AAA Repair'!$A$7:$AP$74,41,FALSE)</f>
        <v>65</v>
      </c>
      <c r="AS12" s="214">
        <f>VLOOKUP($AM12,'Elective Infra-Renal AAA Repair'!$A$7:$AP$74,42,FALSE)</f>
        <v>56</v>
      </c>
    </row>
    <row r="13" spans="1:49" x14ac:dyDescent="0.25">
      <c r="AE13" s="128" t="s">
        <v>24</v>
      </c>
      <c r="AF13" s="211" t="s">
        <v>160</v>
      </c>
      <c r="AG13" s="128">
        <v>12</v>
      </c>
      <c r="AH13" s="212">
        <v>0.81</v>
      </c>
      <c r="AI13" s="212">
        <v>0.19</v>
      </c>
      <c r="AM13" s="213" t="s">
        <v>24</v>
      </c>
      <c r="AN13" s="211" t="s">
        <v>160</v>
      </c>
      <c r="AO13" s="214">
        <v>12</v>
      </c>
      <c r="AP13" s="214">
        <f>VLOOKUP($AM13,'Elective Infra-Renal AAA Repair'!$A$7:$AP$74,39,FALSE)</f>
        <v>60</v>
      </c>
      <c r="AQ13" s="214">
        <f>VLOOKUP($AM13,'Elective Infra-Renal AAA Repair'!$A$7:$AP$74,40,FALSE)</f>
        <v>25</v>
      </c>
      <c r="AR13" s="214">
        <f>VLOOKUP($AM13,'Elective Infra-Renal AAA Repair'!$A$7:$AP$74,41,FALSE)</f>
        <v>50</v>
      </c>
      <c r="AS13" s="214">
        <f>VLOOKUP($AM13,'Elective Infra-Renal AAA Repair'!$A$7:$AP$74,42,FALSE)</f>
        <v>56</v>
      </c>
    </row>
    <row r="14" spans="1:49" x14ac:dyDescent="0.25">
      <c r="AE14" s="128" t="s">
        <v>333</v>
      </c>
      <c r="AF14" s="211" t="s">
        <v>334</v>
      </c>
      <c r="AG14" s="128">
        <v>13</v>
      </c>
      <c r="AH14" s="212">
        <v>0.8</v>
      </c>
      <c r="AI14" s="212">
        <v>0.2</v>
      </c>
      <c r="AM14" s="213" t="s">
        <v>429</v>
      </c>
      <c r="AN14" s="211" t="s">
        <v>430</v>
      </c>
      <c r="AO14" s="214">
        <v>13</v>
      </c>
      <c r="AP14" s="214">
        <f>VLOOKUP($AM14,'Elective Infra-Renal AAA Repair'!$A$7:$AP$74,39,FALSE)</f>
        <v>61</v>
      </c>
      <c r="AQ14" s="214">
        <f>VLOOKUP($AM14,'Elective Infra-Renal AAA Repair'!$A$7:$AP$74,40,FALSE)</f>
        <v>13</v>
      </c>
      <c r="AR14" s="214">
        <f>VLOOKUP($AM14,'Elective Infra-Renal AAA Repair'!$A$7:$AP$74,41,FALSE)</f>
        <v>42</v>
      </c>
      <c r="AS14" s="214">
        <f>VLOOKUP($AM14,'Elective Infra-Renal AAA Repair'!$A$7:$AP$74,42,FALSE)</f>
        <v>56</v>
      </c>
    </row>
    <row r="15" spans="1:49" x14ac:dyDescent="0.25">
      <c r="AE15" s="128" t="s">
        <v>101</v>
      </c>
      <c r="AF15" s="211" t="s">
        <v>102</v>
      </c>
      <c r="AG15" s="128">
        <v>14</v>
      </c>
      <c r="AH15" s="212">
        <v>0.78</v>
      </c>
      <c r="AI15" s="212">
        <v>0.22</v>
      </c>
      <c r="AM15" s="213" t="s">
        <v>39</v>
      </c>
      <c r="AN15" s="211" t="s">
        <v>40</v>
      </c>
      <c r="AO15" s="214">
        <v>14</v>
      </c>
      <c r="AP15" s="214">
        <f>VLOOKUP($AM15,'Elective Infra-Renal AAA Repair'!$A$7:$AP$74,39,FALSE)</f>
        <v>65</v>
      </c>
      <c r="AQ15" s="214">
        <f>VLOOKUP($AM15,'Elective Infra-Renal AAA Repair'!$A$7:$AP$74,40,FALSE)</f>
        <v>20</v>
      </c>
      <c r="AR15" s="214">
        <f>VLOOKUP($AM15,'Elective Infra-Renal AAA Repair'!$A$7:$AP$74,41,FALSE)</f>
        <v>30</v>
      </c>
      <c r="AS15" s="214">
        <f>VLOOKUP($AM15,'Elective Infra-Renal AAA Repair'!$A$7:$AP$74,42,FALSE)</f>
        <v>56</v>
      </c>
    </row>
    <row r="16" spans="1:49" x14ac:dyDescent="0.25">
      <c r="AE16" s="128" t="s">
        <v>360</v>
      </c>
      <c r="AF16" s="211" t="s">
        <v>361</v>
      </c>
      <c r="AG16" s="128">
        <v>15</v>
      </c>
      <c r="AH16" s="212">
        <v>0.76</v>
      </c>
      <c r="AI16" s="212">
        <v>0.24</v>
      </c>
      <c r="AM16" s="213" t="s">
        <v>87</v>
      </c>
      <c r="AN16" s="211" t="s">
        <v>228</v>
      </c>
      <c r="AO16" s="214">
        <v>15</v>
      </c>
      <c r="AP16" s="214">
        <f>VLOOKUP($AM16,'Elective Infra-Renal AAA Repair'!$A$7:$AP$74,39,FALSE)</f>
        <v>66</v>
      </c>
      <c r="AQ16" s="214">
        <f>VLOOKUP($AM16,'Elective Infra-Renal AAA Repair'!$A$7:$AP$74,40,FALSE)</f>
        <v>37</v>
      </c>
      <c r="AR16" s="214">
        <f>VLOOKUP($AM16,'Elective Infra-Renal AAA Repair'!$A$7:$AP$74,41,FALSE)</f>
        <v>73</v>
      </c>
      <c r="AS16" s="214">
        <f>VLOOKUP($AM16,'Elective Infra-Renal AAA Repair'!$A$7:$AP$74,42,FALSE)</f>
        <v>56</v>
      </c>
    </row>
    <row r="17" spans="12:45" x14ac:dyDescent="0.25">
      <c r="AE17" s="128" t="s">
        <v>429</v>
      </c>
      <c r="AF17" s="211" t="s">
        <v>430</v>
      </c>
      <c r="AG17" s="128">
        <v>16</v>
      </c>
      <c r="AH17" s="212">
        <v>0.73</v>
      </c>
      <c r="AI17" s="212">
        <v>0.27</v>
      </c>
      <c r="AM17" s="213" t="s">
        <v>348</v>
      </c>
      <c r="AN17" s="211" t="s">
        <v>349</v>
      </c>
      <c r="AO17" s="214">
        <v>16</v>
      </c>
      <c r="AP17" s="214">
        <f>VLOOKUP($AM17,'Elective Infra-Renal AAA Repair'!$A$7:$AP$74,39,FALSE)</f>
        <v>69</v>
      </c>
      <c r="AQ17" s="214">
        <f>VLOOKUP($AM17,'Elective Infra-Renal AAA Repair'!$A$7:$AP$74,40,FALSE)</f>
        <v>22</v>
      </c>
      <c r="AR17" s="214">
        <f>VLOOKUP($AM17,'Elective Infra-Renal AAA Repair'!$A$7:$AP$74,41,FALSE)</f>
        <v>42</v>
      </c>
      <c r="AS17" s="214">
        <f>VLOOKUP($AM17,'Elective Infra-Renal AAA Repair'!$A$7:$AP$74,42,FALSE)</f>
        <v>56</v>
      </c>
    </row>
    <row r="18" spans="12:45" x14ac:dyDescent="0.25">
      <c r="AE18" s="128" t="s">
        <v>117</v>
      </c>
      <c r="AF18" s="211" t="s">
        <v>118</v>
      </c>
      <c r="AG18" s="128">
        <v>17</v>
      </c>
      <c r="AH18" s="212">
        <v>0.73</v>
      </c>
      <c r="AI18" s="212">
        <v>0.27</v>
      </c>
      <c r="AM18" s="213" t="s">
        <v>55</v>
      </c>
      <c r="AN18" s="211" t="s">
        <v>159</v>
      </c>
      <c r="AO18" s="214">
        <v>17</v>
      </c>
      <c r="AP18" s="214">
        <f>VLOOKUP($AM18,'Elective Infra-Renal AAA Repair'!$A$7:$AP$74,39,FALSE)</f>
        <v>69</v>
      </c>
      <c r="AQ18" s="214">
        <f>VLOOKUP($AM18,'Elective Infra-Renal AAA Repair'!$A$7:$AP$74,40,FALSE)</f>
        <v>23</v>
      </c>
      <c r="AR18" s="214">
        <f>VLOOKUP($AM18,'Elective Infra-Renal AAA Repair'!$A$7:$AP$74,41,FALSE)</f>
        <v>44</v>
      </c>
      <c r="AS18" s="214">
        <f>VLOOKUP($AM18,'Elective Infra-Renal AAA Repair'!$A$7:$AP$74,42,FALSE)</f>
        <v>56</v>
      </c>
    </row>
    <row r="19" spans="12:45" x14ac:dyDescent="0.25">
      <c r="AE19" s="128" t="s">
        <v>29</v>
      </c>
      <c r="AF19" s="211" t="s">
        <v>295</v>
      </c>
      <c r="AG19" s="128">
        <v>18</v>
      </c>
      <c r="AH19" s="212">
        <v>0.72</v>
      </c>
      <c r="AI19" s="212">
        <v>0.28000000000000003</v>
      </c>
      <c r="AM19" s="213" t="s">
        <v>105</v>
      </c>
      <c r="AN19" s="211" t="s">
        <v>106</v>
      </c>
      <c r="AO19" s="214">
        <v>18</v>
      </c>
      <c r="AP19" s="214">
        <f>VLOOKUP($AM19,'Elective Infra-Renal AAA Repair'!$A$7:$AP$74,39,FALSE)</f>
        <v>69</v>
      </c>
      <c r="AQ19" s="214">
        <f>VLOOKUP($AM19,'Elective Infra-Renal AAA Repair'!$A$7:$AP$74,40,FALSE)</f>
        <v>35</v>
      </c>
      <c r="AR19" s="214">
        <f>VLOOKUP($AM19,'Elective Infra-Renal AAA Repair'!$A$7:$AP$74,41,FALSE)</f>
        <v>44</v>
      </c>
      <c r="AS19" s="214">
        <f>VLOOKUP($AM19,'Elective Infra-Renal AAA Repair'!$A$7:$AP$74,42,FALSE)</f>
        <v>56</v>
      </c>
    </row>
    <row r="20" spans="12:45" x14ac:dyDescent="0.25">
      <c r="AE20" s="128" t="s">
        <v>90</v>
      </c>
      <c r="AF20" s="211" t="s">
        <v>91</v>
      </c>
      <c r="AG20" s="128">
        <v>19</v>
      </c>
      <c r="AH20" s="212">
        <v>0.72</v>
      </c>
      <c r="AI20" s="212">
        <v>0.28000000000000003</v>
      </c>
      <c r="AM20" s="213" t="s">
        <v>333</v>
      </c>
      <c r="AN20" s="211" t="s">
        <v>334</v>
      </c>
      <c r="AO20" s="214">
        <v>19</v>
      </c>
      <c r="AP20" s="214">
        <f>VLOOKUP($AM20,'Elective Infra-Renal AAA Repair'!$A$7:$AP$74,39,FALSE)</f>
        <v>69</v>
      </c>
      <c r="AQ20" s="214">
        <f>VLOOKUP($AM20,'Elective Infra-Renal AAA Repair'!$A$7:$AP$74,40,FALSE)</f>
        <v>26</v>
      </c>
      <c r="AR20" s="214">
        <f>VLOOKUP($AM20,'Elective Infra-Renal AAA Repair'!$A$7:$AP$74,41,FALSE)</f>
        <v>48</v>
      </c>
      <c r="AS20" s="214">
        <f>VLOOKUP($AM20,'Elective Infra-Renal AAA Repair'!$A$7:$AP$74,42,FALSE)</f>
        <v>56</v>
      </c>
    </row>
    <row r="21" spans="12:45" x14ac:dyDescent="0.25">
      <c r="AE21" s="128" t="s">
        <v>94</v>
      </c>
      <c r="AF21" s="211" t="s">
        <v>95</v>
      </c>
      <c r="AG21" s="128">
        <v>20</v>
      </c>
      <c r="AH21" s="212">
        <v>0.71</v>
      </c>
      <c r="AI21" s="212">
        <v>0.28999999999999998</v>
      </c>
      <c r="AM21" s="213" t="s">
        <v>75</v>
      </c>
      <c r="AN21" s="211" t="s">
        <v>76</v>
      </c>
      <c r="AO21" s="214">
        <v>20</v>
      </c>
      <c r="AP21" s="214">
        <f>VLOOKUP($AM21,'Elective Infra-Renal AAA Repair'!$A$7:$AP$74,39,FALSE)</f>
        <v>69</v>
      </c>
      <c r="AQ21" s="214">
        <f>VLOOKUP($AM21,'Elective Infra-Renal AAA Repair'!$A$7:$AP$74,40,FALSE)</f>
        <v>27</v>
      </c>
      <c r="AR21" s="214">
        <f>VLOOKUP($AM21,'Elective Infra-Renal AAA Repair'!$A$7:$AP$74,41,FALSE)</f>
        <v>77</v>
      </c>
      <c r="AS21" s="214">
        <f>VLOOKUP($AM21,'Elective Infra-Renal AAA Repair'!$A$7:$AP$74,42,FALSE)</f>
        <v>56</v>
      </c>
    </row>
    <row r="22" spans="12:45" x14ac:dyDescent="0.25">
      <c r="AE22" s="128" t="s">
        <v>99</v>
      </c>
      <c r="AF22" s="211" t="s">
        <v>100</v>
      </c>
      <c r="AG22" s="128">
        <v>21</v>
      </c>
      <c r="AH22" s="212">
        <v>0.71</v>
      </c>
      <c r="AI22" s="212">
        <v>0.28999999999999998</v>
      </c>
      <c r="AM22" s="213" t="s">
        <v>22</v>
      </c>
      <c r="AN22" s="211" t="s">
        <v>23</v>
      </c>
      <c r="AO22" s="214">
        <v>21</v>
      </c>
      <c r="AP22" s="214">
        <f>VLOOKUP($AM22,'Elective Infra-Renal AAA Repair'!$A$7:$AP$74,39,FALSE)</f>
        <v>70</v>
      </c>
      <c r="AQ22" s="214">
        <f>VLOOKUP($AM22,'Elective Infra-Renal AAA Repair'!$A$7:$AP$74,40,FALSE)</f>
        <v>40</v>
      </c>
      <c r="AR22" s="214">
        <f>VLOOKUP($AM22,'Elective Infra-Renal AAA Repair'!$A$7:$AP$74,41,FALSE)</f>
        <v>37</v>
      </c>
      <c r="AS22" s="214">
        <f>VLOOKUP($AM22,'Elective Infra-Renal AAA Repair'!$A$7:$AP$74,42,FALSE)</f>
        <v>56</v>
      </c>
    </row>
    <row r="23" spans="12:45" x14ac:dyDescent="0.25">
      <c r="AE23" s="128" t="s">
        <v>25</v>
      </c>
      <c r="AF23" s="211" t="s">
        <v>26</v>
      </c>
      <c r="AG23" s="128">
        <v>22</v>
      </c>
      <c r="AH23" s="212">
        <v>0.68</v>
      </c>
      <c r="AI23" s="212">
        <v>0.32</v>
      </c>
      <c r="AM23" s="213" t="s">
        <v>30</v>
      </c>
      <c r="AN23" s="211" t="s">
        <v>291</v>
      </c>
      <c r="AO23" s="214">
        <v>22</v>
      </c>
      <c r="AP23" s="214">
        <f>VLOOKUP($AM23,'Elective Infra-Renal AAA Repair'!$A$7:$AP$74,39,FALSE)</f>
        <v>71</v>
      </c>
      <c r="AQ23" s="214">
        <f>VLOOKUP($AM23,'Elective Infra-Renal AAA Repair'!$A$7:$AP$74,40,FALSE)</f>
        <v>11</v>
      </c>
      <c r="AR23" s="214">
        <f>VLOOKUP($AM23,'Elective Infra-Renal AAA Repair'!$A$7:$AP$74,41,FALSE)</f>
        <v>76</v>
      </c>
      <c r="AS23" s="214">
        <f>VLOOKUP($AM23,'Elective Infra-Renal AAA Repair'!$A$7:$AP$74,42,FALSE)</f>
        <v>56</v>
      </c>
    </row>
    <row r="24" spans="12:45" x14ac:dyDescent="0.25">
      <c r="AE24" s="128" t="s">
        <v>119</v>
      </c>
      <c r="AF24" s="211" t="s">
        <v>120</v>
      </c>
      <c r="AG24" s="128">
        <v>23</v>
      </c>
      <c r="AH24" s="212">
        <v>0.67</v>
      </c>
      <c r="AI24" s="212">
        <v>0.33</v>
      </c>
      <c r="AM24" s="213" t="s">
        <v>47</v>
      </c>
      <c r="AN24" s="211" t="s">
        <v>48</v>
      </c>
      <c r="AO24" s="214">
        <v>23</v>
      </c>
      <c r="AP24" s="214">
        <f>VLOOKUP($AM24,'Elective Infra-Renal AAA Repair'!$A$7:$AP$74,39,FALSE)</f>
        <v>74</v>
      </c>
      <c r="AQ24" s="214">
        <f>VLOOKUP($AM24,'Elective Infra-Renal AAA Repair'!$A$7:$AP$74,40,FALSE)</f>
        <v>25</v>
      </c>
      <c r="AR24" s="214">
        <f>VLOOKUP($AM24,'Elective Infra-Renal AAA Repair'!$A$7:$AP$74,41,FALSE)</f>
        <v>29</v>
      </c>
      <c r="AS24" s="214">
        <f>VLOOKUP($AM24,'Elective Infra-Renal AAA Repair'!$A$7:$AP$74,42,FALSE)</f>
        <v>56</v>
      </c>
    </row>
    <row r="25" spans="12:45" x14ac:dyDescent="0.25">
      <c r="AE25" s="128" t="s">
        <v>92</v>
      </c>
      <c r="AF25" s="211" t="s">
        <v>93</v>
      </c>
      <c r="AG25" s="128">
        <v>24</v>
      </c>
      <c r="AH25" s="212">
        <v>0.66</v>
      </c>
      <c r="AI25" s="212">
        <v>0.34</v>
      </c>
      <c r="AM25" s="213" t="s">
        <v>0</v>
      </c>
      <c r="AN25" s="211" t="s">
        <v>1</v>
      </c>
      <c r="AO25" s="214">
        <v>24</v>
      </c>
      <c r="AP25" s="214">
        <f>VLOOKUP($AM25,'Elective Infra-Renal AAA Repair'!$A$7:$AP$74,39,FALSE)</f>
        <v>74</v>
      </c>
      <c r="AQ25" s="214">
        <f>VLOOKUP($AM25,'Elective Infra-Renal AAA Repair'!$A$7:$AP$74,40,FALSE)</f>
        <v>43</v>
      </c>
      <c r="AR25" s="214">
        <f>VLOOKUP($AM25,'Elective Infra-Renal AAA Repair'!$A$7:$AP$74,41,FALSE)</f>
        <v>82</v>
      </c>
      <c r="AS25" s="214">
        <f>VLOOKUP($AM25,'Elective Infra-Renal AAA Repair'!$A$7:$AP$74,42,FALSE)</f>
        <v>56</v>
      </c>
    </row>
    <row r="26" spans="12:45" x14ac:dyDescent="0.25">
      <c r="AE26" s="128" t="s">
        <v>113</v>
      </c>
      <c r="AF26" s="211" t="s">
        <v>114</v>
      </c>
      <c r="AG26" s="128">
        <v>25</v>
      </c>
      <c r="AH26" s="212">
        <v>0.65</v>
      </c>
      <c r="AI26" s="212">
        <v>0.35</v>
      </c>
      <c r="AM26" s="213" t="s">
        <v>117</v>
      </c>
      <c r="AN26" s="211" t="s">
        <v>118</v>
      </c>
      <c r="AO26" s="214">
        <v>25</v>
      </c>
      <c r="AP26" s="214">
        <f>VLOOKUP($AM26,'Elective Infra-Renal AAA Repair'!$A$7:$AP$74,39,FALSE)</f>
        <v>75</v>
      </c>
      <c r="AQ26" s="214">
        <f>VLOOKUP($AM26,'Elective Infra-Renal AAA Repair'!$A$7:$AP$74,40,FALSE)</f>
        <v>31</v>
      </c>
      <c r="AR26" s="214">
        <f>VLOOKUP($AM26,'Elective Infra-Renal AAA Repair'!$A$7:$AP$74,41,FALSE)</f>
        <v>78</v>
      </c>
      <c r="AS26" s="214">
        <f>VLOOKUP($AM26,'Elective Infra-Renal AAA Repair'!$A$7:$AP$74,42,FALSE)</f>
        <v>56</v>
      </c>
    </row>
    <row r="27" spans="12:45" ht="15.75" x14ac:dyDescent="0.25">
      <c r="L27" s="23" t="s">
        <v>252</v>
      </c>
      <c r="AE27" s="128" t="s">
        <v>127</v>
      </c>
      <c r="AF27" s="211" t="s">
        <v>128</v>
      </c>
      <c r="AG27" s="128">
        <v>26</v>
      </c>
      <c r="AH27" s="212">
        <v>0.65</v>
      </c>
      <c r="AI27" s="212">
        <v>0.35</v>
      </c>
      <c r="AM27" s="213" t="s">
        <v>85</v>
      </c>
      <c r="AN27" s="211" t="s">
        <v>86</v>
      </c>
      <c r="AO27" s="214">
        <v>26</v>
      </c>
      <c r="AP27" s="214">
        <f>VLOOKUP($AM27,'Elective Infra-Renal AAA Repair'!$A$7:$AP$74,39,FALSE)</f>
        <v>77</v>
      </c>
      <c r="AQ27" s="214">
        <f>VLOOKUP($AM27,'Elective Infra-Renal AAA Repair'!$A$7:$AP$74,40,FALSE)</f>
        <v>45</v>
      </c>
      <c r="AR27" s="214">
        <f>VLOOKUP($AM27,'Elective Infra-Renal AAA Repair'!$A$7:$AP$74,41,FALSE)</f>
        <v>45</v>
      </c>
      <c r="AS27" s="214">
        <f>VLOOKUP($AM27,'Elective Infra-Renal AAA Repair'!$A$7:$AP$74,42,FALSE)</f>
        <v>56</v>
      </c>
    </row>
    <row r="28" spans="12:45" ht="39.75" customHeight="1" x14ac:dyDescent="0.25">
      <c r="L28" s="141" t="s">
        <v>721</v>
      </c>
      <c r="M28" s="128">
        <f>MATCH(L28,'Elective Infra-Renal AAA Repair'!$X$7:$Y$7,0)</f>
        <v>1</v>
      </c>
      <c r="AE28" s="128" t="s">
        <v>56</v>
      </c>
      <c r="AF28" s="211" t="s">
        <v>57</v>
      </c>
      <c r="AG28" s="128">
        <v>27</v>
      </c>
      <c r="AH28" s="212">
        <v>0.65</v>
      </c>
      <c r="AI28" s="212">
        <v>0.35</v>
      </c>
      <c r="AM28" s="213" t="s">
        <v>113</v>
      </c>
      <c r="AN28" s="211" t="s">
        <v>114</v>
      </c>
      <c r="AO28" s="214">
        <v>27</v>
      </c>
      <c r="AP28" s="214">
        <f>VLOOKUP($AM28,'Elective Infra-Renal AAA Repair'!$A$7:$AP$74,39,FALSE)</f>
        <v>77</v>
      </c>
      <c r="AQ28" s="214">
        <f>VLOOKUP($AM28,'Elective Infra-Renal AAA Repair'!$A$7:$AP$74,40,FALSE)</f>
        <v>39</v>
      </c>
      <c r="AR28" s="214">
        <f>VLOOKUP($AM28,'Elective Infra-Renal AAA Repair'!$A$7:$AP$74,41,FALSE)</f>
        <v>49</v>
      </c>
      <c r="AS28" s="214">
        <f>VLOOKUP($AM28,'Elective Infra-Renal AAA Repair'!$A$7:$AP$74,42,FALSE)</f>
        <v>56</v>
      </c>
    </row>
    <row r="29" spans="12:45" x14ac:dyDescent="0.25">
      <c r="AE29" s="128" t="s">
        <v>18</v>
      </c>
      <c r="AF29" s="211" t="s">
        <v>19</v>
      </c>
      <c r="AG29" s="128">
        <v>28</v>
      </c>
      <c r="AH29" s="212">
        <v>0.63</v>
      </c>
      <c r="AI29" s="212">
        <v>0.37</v>
      </c>
      <c r="AM29" s="213" t="s">
        <v>101</v>
      </c>
      <c r="AN29" s="211" t="s">
        <v>102</v>
      </c>
      <c r="AO29" s="214">
        <v>28</v>
      </c>
      <c r="AP29" s="214">
        <f>VLOOKUP($AM29,'Elective Infra-Renal AAA Repair'!$A$7:$AP$74,39,FALSE)</f>
        <v>78</v>
      </c>
      <c r="AQ29" s="214">
        <f>VLOOKUP($AM29,'Elective Infra-Renal AAA Repair'!$A$7:$AP$74,40,FALSE)</f>
        <v>46</v>
      </c>
      <c r="AR29" s="214">
        <f>VLOOKUP($AM29,'Elective Infra-Renal AAA Repair'!$A$7:$AP$74,41,FALSE)</f>
        <v>30</v>
      </c>
      <c r="AS29" s="214">
        <f>VLOOKUP($AM29,'Elective Infra-Renal AAA Repair'!$A$7:$AP$74,42,FALSE)</f>
        <v>56</v>
      </c>
    </row>
    <row r="30" spans="12:45" x14ac:dyDescent="0.25">
      <c r="AE30" s="128" t="s">
        <v>64</v>
      </c>
      <c r="AF30" s="211" t="s">
        <v>65</v>
      </c>
      <c r="AG30" s="128">
        <v>29</v>
      </c>
      <c r="AH30" s="212">
        <v>0.63</v>
      </c>
      <c r="AI30" s="212">
        <v>0.38</v>
      </c>
      <c r="AM30" s="213" t="s">
        <v>94</v>
      </c>
      <c r="AN30" s="211" t="s">
        <v>95</v>
      </c>
      <c r="AO30" s="214">
        <v>29</v>
      </c>
      <c r="AP30" s="214">
        <f>VLOOKUP($AM30,'Elective Infra-Renal AAA Repair'!$A$7:$AP$74,39,FALSE)</f>
        <v>78</v>
      </c>
      <c r="AQ30" s="214">
        <f>VLOOKUP($AM30,'Elective Infra-Renal AAA Repair'!$A$7:$AP$74,40,FALSE)</f>
        <v>29</v>
      </c>
      <c r="AR30" s="214">
        <f>VLOOKUP($AM30,'Elective Infra-Renal AAA Repair'!$A$7:$AP$74,41,FALSE)</f>
        <v>36</v>
      </c>
      <c r="AS30" s="214">
        <f>VLOOKUP($AM30,'Elective Infra-Renal AAA Repair'!$A$7:$AP$74,42,FALSE)</f>
        <v>56</v>
      </c>
    </row>
    <row r="31" spans="12:45" x14ac:dyDescent="0.25">
      <c r="AE31" s="128" t="s">
        <v>77</v>
      </c>
      <c r="AF31" s="211" t="s">
        <v>78</v>
      </c>
      <c r="AG31" s="128">
        <v>30</v>
      </c>
      <c r="AH31" s="212">
        <v>0.63</v>
      </c>
      <c r="AI31" s="212">
        <v>0.37</v>
      </c>
      <c r="AM31" s="213" t="s">
        <v>103</v>
      </c>
      <c r="AN31" s="211" t="s">
        <v>104</v>
      </c>
      <c r="AO31" s="214">
        <v>30</v>
      </c>
      <c r="AP31" s="214">
        <f>VLOOKUP($AM31,'Elective Infra-Renal AAA Repair'!$A$7:$AP$74,39,FALSE)</f>
        <v>79</v>
      </c>
      <c r="AQ31" s="214">
        <f>VLOOKUP($AM31,'Elective Infra-Renal AAA Repair'!$A$7:$AP$74,40,FALSE)</f>
        <v>28</v>
      </c>
      <c r="AR31" s="214">
        <f>VLOOKUP($AM31,'Elective Infra-Renal AAA Repair'!$A$7:$AP$74,41,FALSE)</f>
        <v>71</v>
      </c>
      <c r="AS31" s="214">
        <f>VLOOKUP($AM31,'Elective Infra-Renal AAA Repair'!$A$7:$AP$74,42,FALSE)</f>
        <v>56</v>
      </c>
    </row>
    <row r="32" spans="12:45" x14ac:dyDescent="0.25">
      <c r="AE32" s="128" t="s">
        <v>45</v>
      </c>
      <c r="AF32" s="211" t="s">
        <v>46</v>
      </c>
      <c r="AG32" s="128">
        <v>31</v>
      </c>
      <c r="AH32" s="212">
        <v>0.62</v>
      </c>
      <c r="AI32" s="212">
        <v>0.38</v>
      </c>
      <c r="AM32" s="213" t="s">
        <v>66</v>
      </c>
      <c r="AN32" s="211" t="s">
        <v>67</v>
      </c>
      <c r="AO32" s="214">
        <v>31</v>
      </c>
      <c r="AP32" s="214">
        <f>VLOOKUP($AM32,'Elective Infra-Renal AAA Repair'!$A$7:$AP$74,39,FALSE)</f>
        <v>84</v>
      </c>
      <c r="AQ32" s="214">
        <f>VLOOKUP($AM32,'Elective Infra-Renal AAA Repair'!$A$7:$AP$74,40,FALSE)</f>
        <v>38</v>
      </c>
      <c r="AR32" s="214">
        <f>VLOOKUP($AM32,'Elective Infra-Renal AAA Repair'!$A$7:$AP$74,41,FALSE)</f>
        <v>35</v>
      </c>
      <c r="AS32" s="214">
        <f>VLOOKUP($AM32,'Elective Infra-Renal AAA Repair'!$A$7:$AP$74,42,FALSE)</f>
        <v>56</v>
      </c>
    </row>
    <row r="33" spans="31:45" x14ac:dyDescent="0.25">
      <c r="AE33" s="128" t="s">
        <v>8</v>
      </c>
      <c r="AF33" s="211" t="s">
        <v>9</v>
      </c>
      <c r="AG33" s="128">
        <v>32</v>
      </c>
      <c r="AH33" s="212">
        <v>0.61</v>
      </c>
      <c r="AI33" s="212">
        <v>0.39</v>
      </c>
      <c r="AM33" s="213" t="s">
        <v>336</v>
      </c>
      <c r="AN33" s="211" t="s">
        <v>337</v>
      </c>
      <c r="AO33" s="214">
        <v>32</v>
      </c>
      <c r="AP33" s="214">
        <f>VLOOKUP($AM33,'Elective Infra-Renal AAA Repair'!$A$7:$AP$74,39,FALSE)</f>
        <v>84</v>
      </c>
      <c r="AQ33" s="214">
        <f>VLOOKUP($AM33,'Elective Infra-Renal AAA Repair'!$A$7:$AP$74,40,FALSE)</f>
        <v>41</v>
      </c>
      <c r="AR33" s="214">
        <f>VLOOKUP($AM33,'Elective Infra-Renal AAA Repair'!$A$7:$AP$74,41,FALSE)</f>
        <v>56</v>
      </c>
      <c r="AS33" s="214">
        <f>VLOOKUP($AM33,'Elective Infra-Renal AAA Repair'!$A$7:$AP$74,42,FALSE)</f>
        <v>56</v>
      </c>
    </row>
    <row r="34" spans="31:45" x14ac:dyDescent="0.25">
      <c r="AE34" s="128" t="s">
        <v>39</v>
      </c>
      <c r="AF34" s="211" t="s">
        <v>40</v>
      </c>
      <c r="AG34" s="128">
        <v>33</v>
      </c>
      <c r="AH34" s="212">
        <v>0.61</v>
      </c>
      <c r="AI34" s="212">
        <v>0.39</v>
      </c>
      <c r="AM34" s="213" t="s">
        <v>8</v>
      </c>
      <c r="AN34" s="211" t="s">
        <v>9</v>
      </c>
      <c r="AO34" s="214">
        <v>33</v>
      </c>
      <c r="AP34" s="214">
        <f>VLOOKUP($AM34,'Elective Infra-Renal AAA Repair'!$A$7:$AP$74,39,FALSE)</f>
        <v>84</v>
      </c>
      <c r="AQ34" s="214">
        <f>VLOOKUP($AM34,'Elective Infra-Renal AAA Repair'!$A$7:$AP$74,40,FALSE)</f>
        <v>35</v>
      </c>
      <c r="AR34" s="214">
        <f>VLOOKUP($AM34,'Elective Infra-Renal AAA Repair'!$A$7:$AP$74,41,FALSE)</f>
        <v>57</v>
      </c>
      <c r="AS34" s="214">
        <f>VLOOKUP($AM34,'Elective Infra-Renal AAA Repair'!$A$7:$AP$74,42,FALSE)</f>
        <v>56</v>
      </c>
    </row>
    <row r="35" spans="31:45" x14ac:dyDescent="0.25">
      <c r="AE35" s="128" t="s">
        <v>87</v>
      </c>
      <c r="AF35" s="211" t="s">
        <v>228</v>
      </c>
      <c r="AG35" s="128">
        <v>34</v>
      </c>
      <c r="AH35" s="212">
        <v>0.61</v>
      </c>
      <c r="AI35" s="212">
        <v>0.39</v>
      </c>
      <c r="AM35" s="213" t="s">
        <v>109</v>
      </c>
      <c r="AN35" s="211" t="s">
        <v>110</v>
      </c>
      <c r="AO35" s="214">
        <v>34</v>
      </c>
      <c r="AP35" s="214">
        <f>VLOOKUP($AM35,'Elective Infra-Renal AAA Repair'!$A$7:$AP$74,39,FALSE)</f>
        <v>86</v>
      </c>
      <c r="AQ35" s="214">
        <f>VLOOKUP($AM35,'Elective Infra-Renal AAA Repair'!$A$7:$AP$74,40,FALSE)</f>
        <v>33</v>
      </c>
      <c r="AR35" s="214">
        <f>VLOOKUP($AM35,'Elective Infra-Renal AAA Repair'!$A$7:$AP$74,41,FALSE)</f>
        <v>24</v>
      </c>
      <c r="AS35" s="214">
        <f>VLOOKUP($AM35,'Elective Infra-Renal AAA Repair'!$A$7:$AP$74,42,FALSE)</f>
        <v>56</v>
      </c>
    </row>
    <row r="36" spans="31:45" x14ac:dyDescent="0.25">
      <c r="AE36" s="128" t="s">
        <v>105</v>
      </c>
      <c r="AF36" s="211" t="s">
        <v>106</v>
      </c>
      <c r="AG36" s="128">
        <v>35</v>
      </c>
      <c r="AH36" s="212">
        <v>0.61</v>
      </c>
      <c r="AI36" s="212">
        <v>0.39</v>
      </c>
      <c r="AM36" s="213" t="s">
        <v>83</v>
      </c>
      <c r="AN36" s="211" t="s">
        <v>84</v>
      </c>
      <c r="AO36" s="214">
        <v>35</v>
      </c>
      <c r="AP36" s="214">
        <f>VLOOKUP($AM36,'Elective Infra-Renal AAA Repair'!$A$7:$AP$74,39,FALSE)</f>
        <v>89</v>
      </c>
      <c r="AQ36" s="214">
        <f>VLOOKUP($AM36,'Elective Infra-Renal AAA Repair'!$A$7:$AP$74,40,FALSE)</f>
        <v>40</v>
      </c>
      <c r="AR36" s="214">
        <f>VLOOKUP($AM36,'Elective Infra-Renal AAA Repair'!$A$7:$AP$74,41,FALSE)</f>
        <v>74</v>
      </c>
      <c r="AS36" s="214">
        <f>VLOOKUP($AM36,'Elective Infra-Renal AAA Repair'!$A$7:$AP$74,42,FALSE)</f>
        <v>56</v>
      </c>
    </row>
    <row r="37" spans="31:45" x14ac:dyDescent="0.25">
      <c r="AE37" s="128" t="s">
        <v>15</v>
      </c>
      <c r="AF37" s="211" t="s">
        <v>16</v>
      </c>
      <c r="AG37" s="128">
        <v>36</v>
      </c>
      <c r="AH37" s="212">
        <v>0.59</v>
      </c>
      <c r="AI37" s="212">
        <v>0.41</v>
      </c>
      <c r="AM37" s="213" t="s">
        <v>96</v>
      </c>
      <c r="AN37" s="211" t="s">
        <v>294</v>
      </c>
      <c r="AO37" s="214">
        <v>36</v>
      </c>
      <c r="AP37" s="214">
        <f>VLOOKUP($AM37,'Elective Infra-Renal AAA Repair'!$A$7:$AP$74,39,FALSE)</f>
        <v>90</v>
      </c>
      <c r="AQ37" s="214">
        <f>VLOOKUP($AM37,'Elective Infra-Renal AAA Repair'!$A$7:$AP$74,40,FALSE)</f>
        <v>32</v>
      </c>
      <c r="AR37" s="214">
        <f>VLOOKUP($AM37,'Elective Infra-Renal AAA Repair'!$A$7:$AP$74,41,FALSE)</f>
        <v>26</v>
      </c>
      <c r="AS37" s="214">
        <f>VLOOKUP($AM37,'Elective Infra-Renal AAA Repair'!$A$7:$AP$74,42,FALSE)</f>
        <v>56</v>
      </c>
    </row>
    <row r="38" spans="31:45" x14ac:dyDescent="0.25">
      <c r="AE38" s="128" t="s">
        <v>123</v>
      </c>
      <c r="AF38" s="211" t="s">
        <v>124</v>
      </c>
      <c r="AG38" s="128">
        <v>37</v>
      </c>
      <c r="AH38" s="212">
        <v>0.55000000000000004</v>
      </c>
      <c r="AI38" s="212">
        <v>0.45</v>
      </c>
      <c r="AM38" s="213" t="s">
        <v>92</v>
      </c>
      <c r="AN38" s="211" t="s">
        <v>93</v>
      </c>
      <c r="AO38" s="214">
        <v>37</v>
      </c>
      <c r="AP38" s="214">
        <f>VLOOKUP($AM38,'Elective Infra-Renal AAA Repair'!$A$7:$AP$74,39,FALSE)</f>
        <v>90</v>
      </c>
      <c r="AQ38" s="214">
        <f>VLOOKUP($AM38,'Elective Infra-Renal AAA Repair'!$A$7:$AP$74,40,FALSE)</f>
        <v>27</v>
      </c>
      <c r="AR38" s="214">
        <f>VLOOKUP($AM38,'Elective Infra-Renal AAA Repair'!$A$7:$AP$74,41,FALSE)</f>
        <v>51</v>
      </c>
      <c r="AS38" s="214">
        <f>VLOOKUP($AM38,'Elective Infra-Renal AAA Repair'!$A$7:$AP$74,42,FALSE)</f>
        <v>56</v>
      </c>
    </row>
    <row r="39" spans="31:45" x14ac:dyDescent="0.25">
      <c r="AE39" s="128" t="s">
        <v>49</v>
      </c>
      <c r="AF39" s="211" t="s">
        <v>50</v>
      </c>
      <c r="AG39" s="128">
        <v>38</v>
      </c>
      <c r="AH39" s="212">
        <v>0.54</v>
      </c>
      <c r="AI39" s="212">
        <v>0.46</v>
      </c>
      <c r="AM39" s="213" t="s">
        <v>119</v>
      </c>
      <c r="AN39" s="211" t="s">
        <v>120</v>
      </c>
      <c r="AO39" s="214">
        <v>38</v>
      </c>
      <c r="AP39" s="214">
        <f>VLOOKUP($AM39,'Elective Infra-Renal AAA Repair'!$A$7:$AP$74,39,FALSE)</f>
        <v>92</v>
      </c>
      <c r="AQ39" s="214">
        <f>VLOOKUP($AM39,'Elective Infra-Renal AAA Repair'!$A$7:$AP$74,40,FALSE)</f>
        <v>39</v>
      </c>
      <c r="AR39" s="214">
        <f>VLOOKUP($AM39,'Elective Infra-Renal AAA Repair'!$A$7:$AP$74,41,FALSE)</f>
        <v>30</v>
      </c>
      <c r="AS39" s="214">
        <f>VLOOKUP($AM39,'Elective Infra-Renal AAA Repair'!$A$7:$AP$74,42,FALSE)</f>
        <v>56</v>
      </c>
    </row>
    <row r="40" spans="31:45" x14ac:dyDescent="0.25">
      <c r="AE40" s="128" t="s">
        <v>131</v>
      </c>
      <c r="AF40" s="211" t="s">
        <v>132</v>
      </c>
      <c r="AG40" s="128">
        <v>39</v>
      </c>
      <c r="AH40" s="212">
        <v>0.52</v>
      </c>
      <c r="AI40" s="212">
        <v>0.48</v>
      </c>
      <c r="AM40" s="213" t="s">
        <v>433</v>
      </c>
      <c r="AN40" s="211" t="s">
        <v>353</v>
      </c>
      <c r="AO40" s="214">
        <v>39</v>
      </c>
      <c r="AP40" s="214">
        <f>VLOOKUP($AM40,'Elective Infra-Renal AAA Repair'!$A$7:$AP$74,39,FALSE)</f>
        <v>93</v>
      </c>
      <c r="AQ40" s="214">
        <f>VLOOKUP($AM40,'Elective Infra-Renal AAA Repair'!$A$7:$AP$74,40,FALSE)</f>
        <v>31</v>
      </c>
      <c r="AR40" s="214">
        <f>VLOOKUP($AM40,'Elective Infra-Renal AAA Repair'!$A$7:$AP$74,41,FALSE)</f>
        <v>101</v>
      </c>
      <c r="AS40" s="214">
        <f>VLOOKUP($AM40,'Elective Infra-Renal AAA Repair'!$A$7:$AP$74,42,FALSE)</f>
        <v>56</v>
      </c>
    </row>
    <row r="41" spans="31:45" x14ac:dyDescent="0.25">
      <c r="AE41" s="128" t="s">
        <v>348</v>
      </c>
      <c r="AF41" s="211" t="s">
        <v>349</v>
      </c>
      <c r="AG41" s="128">
        <v>40</v>
      </c>
      <c r="AH41" s="212">
        <v>0.52</v>
      </c>
      <c r="AI41" s="212">
        <v>0.48</v>
      </c>
      <c r="AM41" s="213" t="s">
        <v>35</v>
      </c>
      <c r="AN41" s="211" t="s">
        <v>36</v>
      </c>
      <c r="AO41" s="214">
        <v>40</v>
      </c>
      <c r="AP41" s="214">
        <f>VLOOKUP($AM41,'Elective Infra-Renal AAA Repair'!$A$7:$AP$74,39,FALSE)</f>
        <v>95</v>
      </c>
      <c r="AQ41" s="214">
        <f>VLOOKUP($AM41,'Elective Infra-Renal AAA Repair'!$A$7:$AP$74,40,FALSE)</f>
        <v>39</v>
      </c>
      <c r="AR41" s="214">
        <f>VLOOKUP($AM41,'Elective Infra-Renal AAA Repair'!$A$7:$AP$74,41,FALSE)</f>
        <v>46</v>
      </c>
      <c r="AS41" s="214">
        <f>VLOOKUP($AM41,'Elective Infra-Renal AAA Repair'!$A$7:$AP$74,42,FALSE)</f>
        <v>56</v>
      </c>
    </row>
    <row r="42" spans="31:45" x14ac:dyDescent="0.25">
      <c r="AE42" s="128" t="s">
        <v>55</v>
      </c>
      <c r="AF42" s="211" t="s">
        <v>159</v>
      </c>
      <c r="AG42" s="128">
        <v>41</v>
      </c>
      <c r="AH42" s="212">
        <v>0.52</v>
      </c>
      <c r="AI42" s="212">
        <v>0.48</v>
      </c>
      <c r="AM42" s="213" t="s">
        <v>25</v>
      </c>
      <c r="AN42" s="211" t="s">
        <v>26</v>
      </c>
      <c r="AO42" s="214">
        <v>41</v>
      </c>
      <c r="AP42" s="214">
        <f>VLOOKUP($AM42,'Elective Infra-Renal AAA Repair'!$A$7:$AP$74,39,FALSE)</f>
        <v>98</v>
      </c>
      <c r="AQ42" s="214">
        <f>VLOOKUP($AM42,'Elective Infra-Renal AAA Repair'!$A$7:$AP$74,40,FALSE)</f>
        <v>64</v>
      </c>
      <c r="AR42" s="214">
        <f>VLOOKUP($AM42,'Elective Infra-Renal AAA Repair'!$A$7:$AP$74,41,FALSE)</f>
        <v>73</v>
      </c>
      <c r="AS42" s="214">
        <f>VLOOKUP($AM42,'Elective Infra-Renal AAA Repair'!$A$7:$AP$74,42,FALSE)</f>
        <v>56</v>
      </c>
    </row>
    <row r="43" spans="31:45" x14ac:dyDescent="0.25">
      <c r="AE43" s="128" t="s">
        <v>85</v>
      </c>
      <c r="AF43" s="211" t="s">
        <v>86</v>
      </c>
      <c r="AG43" s="128">
        <v>42</v>
      </c>
      <c r="AH43" s="212">
        <v>0.5</v>
      </c>
      <c r="AI43" s="212">
        <v>0.5</v>
      </c>
      <c r="AM43" s="213" t="s">
        <v>90</v>
      </c>
      <c r="AN43" s="211" t="s">
        <v>91</v>
      </c>
      <c r="AO43" s="214">
        <v>42</v>
      </c>
      <c r="AP43" s="214">
        <f>VLOOKUP($AM43,'Elective Infra-Renal AAA Repair'!$A$7:$AP$74,39,FALSE)</f>
        <v>98</v>
      </c>
      <c r="AQ43" s="214">
        <f>VLOOKUP($AM43,'Elective Infra-Renal AAA Repair'!$A$7:$AP$74,40,FALSE)</f>
        <v>34</v>
      </c>
      <c r="AR43" s="214">
        <f>VLOOKUP($AM43,'Elective Infra-Renal AAA Repair'!$A$7:$AP$74,41,FALSE)</f>
        <v>78</v>
      </c>
      <c r="AS43" s="214">
        <f>VLOOKUP($AM43,'Elective Infra-Renal AAA Repair'!$A$7:$AP$74,42,FALSE)</f>
        <v>56</v>
      </c>
    </row>
    <row r="44" spans="31:45" x14ac:dyDescent="0.25">
      <c r="AE44" s="128" t="s">
        <v>66</v>
      </c>
      <c r="AF44" s="211" t="s">
        <v>67</v>
      </c>
      <c r="AG44" s="128">
        <v>43</v>
      </c>
      <c r="AH44" s="212">
        <v>0.5</v>
      </c>
      <c r="AI44" s="212">
        <v>0.5</v>
      </c>
      <c r="AM44" s="213" t="s">
        <v>131</v>
      </c>
      <c r="AN44" s="211" t="s">
        <v>132</v>
      </c>
      <c r="AO44" s="214">
        <v>43</v>
      </c>
      <c r="AP44" s="214">
        <f>VLOOKUP($AM44,'Elective Infra-Renal AAA Repair'!$A$7:$AP$74,39,FALSE)</f>
        <v>101</v>
      </c>
      <c r="AQ44" s="214">
        <f>VLOOKUP($AM44,'Elective Infra-Renal AAA Repair'!$A$7:$AP$74,40,FALSE)</f>
        <v>49</v>
      </c>
      <c r="AR44" s="214">
        <f>VLOOKUP($AM44,'Elective Infra-Renal AAA Repair'!$A$7:$AP$74,41,FALSE)</f>
        <v>19</v>
      </c>
      <c r="AS44" s="214">
        <f>VLOOKUP($AM44,'Elective Infra-Renal AAA Repair'!$A$7:$AP$74,42,FALSE)</f>
        <v>56</v>
      </c>
    </row>
    <row r="45" spans="31:45" x14ac:dyDescent="0.25">
      <c r="AE45" s="128" t="s">
        <v>81</v>
      </c>
      <c r="AF45" s="211" t="s">
        <v>82</v>
      </c>
      <c r="AG45" s="128">
        <v>44</v>
      </c>
      <c r="AH45" s="212">
        <v>0.5</v>
      </c>
      <c r="AI45" s="212">
        <v>0.5</v>
      </c>
      <c r="AM45" s="213" t="s">
        <v>49</v>
      </c>
      <c r="AN45" s="211" t="s">
        <v>50</v>
      </c>
      <c r="AO45" s="214">
        <v>44</v>
      </c>
      <c r="AP45" s="214">
        <f>VLOOKUP($AM45,'Elective Infra-Renal AAA Repair'!$A$7:$AP$74,39,FALSE)</f>
        <v>103</v>
      </c>
      <c r="AQ45" s="214">
        <f>VLOOKUP($AM45,'Elective Infra-Renal AAA Repair'!$A$7:$AP$74,40,FALSE)</f>
        <v>60</v>
      </c>
      <c r="AR45" s="214">
        <f>VLOOKUP($AM45,'Elective Infra-Renal AAA Repair'!$A$7:$AP$74,41,FALSE)</f>
        <v>79</v>
      </c>
      <c r="AS45" s="214">
        <f>VLOOKUP($AM45,'Elective Infra-Renal AAA Repair'!$A$7:$AP$74,42,FALSE)</f>
        <v>56</v>
      </c>
    </row>
    <row r="46" spans="31:45" x14ac:dyDescent="0.25">
      <c r="AE46" s="128" t="s">
        <v>83</v>
      </c>
      <c r="AF46" s="211" t="s">
        <v>84</v>
      </c>
      <c r="AG46" s="128">
        <v>45</v>
      </c>
      <c r="AH46" s="212">
        <v>0.46</v>
      </c>
      <c r="AI46" s="212">
        <v>0.54</v>
      </c>
      <c r="AM46" s="213" t="s">
        <v>56</v>
      </c>
      <c r="AN46" s="211" t="s">
        <v>57</v>
      </c>
      <c r="AO46" s="214">
        <v>45</v>
      </c>
      <c r="AP46" s="214">
        <f>VLOOKUP($AM46,'Elective Infra-Renal AAA Repair'!$A$7:$AP$74,39,FALSE)</f>
        <v>104</v>
      </c>
      <c r="AQ46" s="214">
        <f>VLOOKUP($AM46,'Elective Infra-Renal AAA Repair'!$A$7:$AP$74,40,FALSE)</f>
        <v>39</v>
      </c>
      <c r="AR46" s="214">
        <f>VLOOKUP($AM46,'Elective Infra-Renal AAA Repair'!$A$7:$AP$74,41,FALSE)</f>
        <v>41</v>
      </c>
      <c r="AS46" s="214">
        <f>VLOOKUP($AM46,'Elective Infra-Renal AAA Repair'!$A$7:$AP$74,42,FALSE)</f>
        <v>56</v>
      </c>
    </row>
    <row r="47" spans="31:45" x14ac:dyDescent="0.25">
      <c r="AE47" s="128" t="s">
        <v>336</v>
      </c>
      <c r="AF47" s="211" t="s">
        <v>337</v>
      </c>
      <c r="AG47" s="128">
        <v>46</v>
      </c>
      <c r="AH47" s="212">
        <v>0.46</v>
      </c>
      <c r="AI47" s="212">
        <v>0.54</v>
      </c>
      <c r="AM47" s="213" t="s">
        <v>18</v>
      </c>
      <c r="AN47" s="211" t="s">
        <v>19</v>
      </c>
      <c r="AO47" s="214">
        <v>46</v>
      </c>
      <c r="AP47" s="214">
        <f>VLOOKUP($AM47,'Elective Infra-Renal AAA Repair'!$A$7:$AP$74,39,FALSE)</f>
        <v>104</v>
      </c>
      <c r="AQ47" s="214">
        <f>VLOOKUP($AM47,'Elective Infra-Renal AAA Repair'!$A$7:$AP$74,40,FALSE)</f>
        <v>49</v>
      </c>
      <c r="AR47" s="214">
        <f>VLOOKUP($AM47,'Elective Infra-Renal AAA Repair'!$A$7:$AP$74,41,FALSE)</f>
        <v>85</v>
      </c>
      <c r="AS47" s="214">
        <f>VLOOKUP($AM47,'Elective Infra-Renal AAA Repair'!$A$7:$AP$74,42,FALSE)</f>
        <v>56</v>
      </c>
    </row>
    <row r="48" spans="31:45" x14ac:dyDescent="0.25">
      <c r="AE48" s="128" t="s">
        <v>10</v>
      </c>
      <c r="AF48" s="211" t="s">
        <v>11</v>
      </c>
      <c r="AG48" s="128">
        <v>47</v>
      </c>
      <c r="AH48" s="212">
        <v>0.45</v>
      </c>
      <c r="AI48" s="212">
        <v>0.55000000000000004</v>
      </c>
      <c r="AM48" s="213" t="s">
        <v>97</v>
      </c>
      <c r="AN48" s="211" t="s">
        <v>98</v>
      </c>
      <c r="AO48" s="214">
        <v>47</v>
      </c>
      <c r="AP48" s="214">
        <f>VLOOKUP($AM48,'Elective Infra-Renal AAA Repair'!$A$7:$AP$74,39,FALSE)</f>
        <v>106</v>
      </c>
      <c r="AQ48" s="214">
        <f>VLOOKUP($AM48,'Elective Infra-Renal AAA Repair'!$A$7:$AP$74,40,FALSE)</f>
        <v>47</v>
      </c>
      <c r="AR48" s="214">
        <f>VLOOKUP($AM48,'Elective Infra-Renal AAA Repair'!$A$7:$AP$74,41,FALSE)</f>
        <v>80</v>
      </c>
      <c r="AS48" s="214">
        <f>VLOOKUP($AM48,'Elective Infra-Renal AAA Repair'!$A$7:$AP$74,42,FALSE)</f>
        <v>56</v>
      </c>
    </row>
    <row r="49" spans="2:45" x14ac:dyDescent="0.25">
      <c r="AE49" s="128" t="s">
        <v>125</v>
      </c>
      <c r="AF49" s="211" t="s">
        <v>126</v>
      </c>
      <c r="AG49" s="128">
        <v>48</v>
      </c>
      <c r="AH49" s="212">
        <v>0.45</v>
      </c>
      <c r="AI49" s="212">
        <v>0.55000000000000004</v>
      </c>
      <c r="AM49" s="213" t="s">
        <v>17</v>
      </c>
      <c r="AN49" s="211" t="s">
        <v>339</v>
      </c>
      <c r="AO49" s="214">
        <v>48</v>
      </c>
      <c r="AP49" s="214">
        <f>VLOOKUP($AM49,'Elective Infra-Renal AAA Repair'!$A$7:$AP$74,39,FALSE)</f>
        <v>107</v>
      </c>
      <c r="AQ49" s="214">
        <f>VLOOKUP($AM49,'Elective Infra-Renal AAA Repair'!$A$7:$AP$74,40,FALSE)</f>
        <v>48</v>
      </c>
      <c r="AR49" s="214">
        <f>VLOOKUP($AM49,'Elective Infra-Renal AAA Repair'!$A$7:$AP$74,41,FALSE)</f>
        <v>50</v>
      </c>
      <c r="AS49" s="214">
        <f>VLOOKUP($AM49,'Elective Infra-Renal AAA Repair'!$A$7:$AP$74,42,FALSE)</f>
        <v>56</v>
      </c>
    </row>
    <row r="50" spans="2:45" x14ac:dyDescent="0.25">
      <c r="AE50" s="128" t="s">
        <v>60</v>
      </c>
      <c r="AF50" s="211" t="s">
        <v>61</v>
      </c>
      <c r="AG50" s="128">
        <v>49</v>
      </c>
      <c r="AH50" s="212">
        <v>0.45</v>
      </c>
      <c r="AI50" s="212">
        <v>0.55000000000000004</v>
      </c>
      <c r="AM50" s="213" t="s">
        <v>45</v>
      </c>
      <c r="AN50" s="211" t="s">
        <v>46</v>
      </c>
      <c r="AO50" s="214">
        <v>49</v>
      </c>
      <c r="AP50" s="214">
        <f>VLOOKUP($AM50,'Elective Infra-Renal AAA Repair'!$A$7:$AP$74,39,FALSE)</f>
        <v>111</v>
      </c>
      <c r="AQ50" s="214">
        <f>VLOOKUP($AM50,'Elective Infra-Renal AAA Repair'!$A$7:$AP$74,40,FALSE)</f>
        <v>41</v>
      </c>
      <c r="AR50" s="214">
        <f>VLOOKUP($AM50,'Elective Infra-Renal AAA Repair'!$A$7:$AP$74,41,FALSE)</f>
        <v>45</v>
      </c>
      <c r="AS50" s="214">
        <f>VLOOKUP($AM50,'Elective Infra-Renal AAA Repair'!$A$7:$AP$74,42,FALSE)</f>
        <v>56</v>
      </c>
    </row>
    <row r="51" spans="2:45" ht="15.75" thickBot="1" x14ac:dyDescent="0.3">
      <c r="AE51" s="128" t="s">
        <v>433</v>
      </c>
      <c r="AF51" s="211" t="s">
        <v>353</v>
      </c>
      <c r="AG51" s="128">
        <v>50</v>
      </c>
      <c r="AH51" s="212">
        <v>0.45</v>
      </c>
      <c r="AI51" s="212">
        <v>0.55000000000000004</v>
      </c>
      <c r="AM51" s="213" t="s">
        <v>99</v>
      </c>
      <c r="AN51" s="211" t="s">
        <v>100</v>
      </c>
      <c r="AO51" s="214">
        <v>50</v>
      </c>
      <c r="AP51" s="214">
        <f>VLOOKUP($AM51,'Elective Infra-Renal AAA Repair'!$A$7:$AP$74,39,FALSE)</f>
        <v>111</v>
      </c>
      <c r="AQ51" s="214">
        <f>VLOOKUP($AM51,'Elective Infra-Renal AAA Repair'!$A$7:$AP$74,40,FALSE)</f>
        <v>25</v>
      </c>
      <c r="AR51" s="214">
        <f>VLOOKUP($AM51,'Elective Infra-Renal AAA Repair'!$A$7:$AP$74,41,FALSE)</f>
        <v>74</v>
      </c>
      <c r="AS51" s="214">
        <f>VLOOKUP($AM51,'Elective Infra-Renal AAA Repair'!$A$7:$AP$74,42,FALSE)</f>
        <v>56</v>
      </c>
    </row>
    <row r="52" spans="2:45" ht="75.75" thickBot="1" x14ac:dyDescent="0.3">
      <c r="B52" s="14" t="s">
        <v>139</v>
      </c>
      <c r="C52" s="14" t="s">
        <v>140</v>
      </c>
      <c r="D52" s="15" t="s">
        <v>148</v>
      </c>
      <c r="E52" s="15" t="s">
        <v>149</v>
      </c>
      <c r="F52" s="14" t="s">
        <v>154</v>
      </c>
      <c r="G52" s="14" t="s">
        <v>155</v>
      </c>
      <c r="H52" s="14" t="s">
        <v>721</v>
      </c>
      <c r="I52" s="14" t="s">
        <v>569</v>
      </c>
      <c r="J52" s="14" t="s">
        <v>567</v>
      </c>
      <c r="AE52" s="128" t="s">
        <v>2</v>
      </c>
      <c r="AF52" s="211" t="s">
        <v>158</v>
      </c>
      <c r="AG52" s="128">
        <v>51</v>
      </c>
      <c r="AH52" s="212">
        <v>0.45</v>
      </c>
      <c r="AI52" s="212">
        <v>0.55000000000000004</v>
      </c>
      <c r="AM52" s="213" t="s">
        <v>88</v>
      </c>
      <c r="AN52" s="211" t="s">
        <v>298</v>
      </c>
      <c r="AO52" s="214">
        <v>51</v>
      </c>
      <c r="AP52" s="214">
        <f>VLOOKUP($AM52,'Elective Infra-Renal AAA Repair'!$A$7:$AP$74,39,FALSE)</f>
        <v>118</v>
      </c>
      <c r="AQ52" s="214">
        <f>VLOOKUP($AM52,'Elective Infra-Renal AAA Repair'!$A$7:$AP$74,40,FALSE)</f>
        <v>55</v>
      </c>
      <c r="AR52" s="214">
        <f>VLOOKUP($AM52,'Elective Infra-Renal AAA Repair'!$A$7:$AP$74,41,FALSE)</f>
        <v>75</v>
      </c>
      <c r="AS52" s="214">
        <f>VLOOKUP($AM52,'Elective Infra-Renal AAA Repair'!$A$7:$AP$74,42,FALSE)</f>
        <v>56</v>
      </c>
    </row>
    <row r="53" spans="2:45" ht="15.75" thickBot="1" x14ac:dyDescent="0.3">
      <c r="B53" s="16" t="str">
        <f>B1</f>
        <v>Barking, Havering and Redbridge University Hospitals NHS Trust</v>
      </c>
      <c r="C53" s="18" t="str">
        <f>VLOOKUP($B53,'Elective Infra-Renal AAA Repair'!$B:$V,14,FALSE)</f>
        <v>RF4</v>
      </c>
      <c r="D53" s="52">
        <f>VLOOKUP($B53,'Elective Infra-Renal AAA Repair'!$B:$V,2,FALSE)</f>
        <v>17</v>
      </c>
      <c r="E53" s="52">
        <f>VLOOKUP($B53,'Elective Infra-Renal AAA Repair'!$B:$V,3,FALSE)</f>
        <v>17</v>
      </c>
      <c r="F53" s="53" t="str">
        <f>VLOOKUP($B53,'Elective Infra-Renal AAA Repair'!$B:$V,12,FALSE)</f>
        <v>N/A</v>
      </c>
      <c r="G53" s="53" t="str">
        <f>VLOOKUP($B53,'Elective Infra-Renal AAA Repair'!$B:$V,11,FALSE)</f>
        <v>1 (1 - 2)</v>
      </c>
      <c r="H53" s="53" t="str">
        <f>VLOOKUP($B53,'Elective Infra-Renal AAA Repair'!$B:$Z,23,FALSE)</f>
        <v>71 (60 - 147)</v>
      </c>
      <c r="I53" s="142">
        <f>VLOOKUP($B53,'Elective Infra-Renal AAA Repair'!$B:$Z,24,FALSE)</f>
        <v>0.13</v>
      </c>
      <c r="J53" s="54">
        <f>VLOOKUP($B53,'Elective Infra-Renal AAA Repair'!$B:$V,13,FALSE)</f>
        <v>1.4999999999999999E-2</v>
      </c>
      <c r="AE53" s="128" t="s">
        <v>97</v>
      </c>
      <c r="AF53" s="211" t="s">
        <v>98</v>
      </c>
      <c r="AG53" s="128">
        <v>52</v>
      </c>
      <c r="AH53" s="212">
        <v>0.45</v>
      </c>
      <c r="AI53" s="212">
        <v>0.55000000000000004</v>
      </c>
      <c r="AM53" s="213" t="s">
        <v>77</v>
      </c>
      <c r="AN53" s="211" t="s">
        <v>78</v>
      </c>
      <c r="AO53" s="214">
        <v>52</v>
      </c>
      <c r="AP53" s="214">
        <f>VLOOKUP($AM53,'Elective Infra-Renal AAA Repair'!$A$7:$AP$74,39,FALSE)</f>
        <v>125</v>
      </c>
      <c r="AQ53" s="214">
        <f>VLOOKUP($AM53,'Elective Infra-Renal AAA Repair'!$A$7:$AP$74,40,FALSE)</f>
        <v>45</v>
      </c>
      <c r="AR53" s="214">
        <f>VLOOKUP($AM53,'Elective Infra-Renal AAA Repair'!$A$7:$AP$74,41,FALSE)</f>
        <v>132</v>
      </c>
      <c r="AS53" s="214">
        <f>VLOOKUP($AM53,'Elective Infra-Renal AAA Repair'!$A$7:$AP$74,42,FALSE)</f>
        <v>56</v>
      </c>
    </row>
    <row r="54" spans="2:45" ht="15.75" thickBot="1" x14ac:dyDescent="0.3">
      <c r="B54" s="241" t="s">
        <v>230</v>
      </c>
      <c r="C54" s="241"/>
      <c r="D54" s="43">
        <v>2833</v>
      </c>
      <c r="E54" s="43">
        <v>1689</v>
      </c>
      <c r="F54" s="44" t="s">
        <v>270</v>
      </c>
      <c r="G54" s="44" t="s">
        <v>187</v>
      </c>
      <c r="H54" s="44" t="s">
        <v>724</v>
      </c>
      <c r="I54" s="143">
        <v>0.32</v>
      </c>
      <c r="J54" s="45">
        <v>1.4E-2</v>
      </c>
      <c r="AE54" s="128" t="s">
        <v>96</v>
      </c>
      <c r="AF54" s="211" t="s">
        <v>294</v>
      </c>
      <c r="AG54" s="128">
        <v>53</v>
      </c>
      <c r="AH54" s="212">
        <v>0.44</v>
      </c>
      <c r="AI54" s="212">
        <v>0.56000000000000005</v>
      </c>
      <c r="AM54" s="213" t="s">
        <v>3</v>
      </c>
      <c r="AN54" s="211" t="s">
        <v>4</v>
      </c>
      <c r="AO54" s="214">
        <v>53</v>
      </c>
      <c r="AP54" s="214">
        <f>VLOOKUP($AM54,'Elective Infra-Renal AAA Repair'!$A$7:$AP$74,39,FALSE)</f>
        <v>128</v>
      </c>
      <c r="AQ54" s="214">
        <f>VLOOKUP($AM54,'Elective Infra-Renal AAA Repair'!$A$7:$AP$74,40,FALSE)</f>
        <v>50</v>
      </c>
      <c r="AR54" s="214">
        <f>VLOOKUP($AM54,'Elective Infra-Renal AAA Repair'!$A$7:$AP$74,41,FALSE)</f>
        <v>36</v>
      </c>
      <c r="AS54" s="214">
        <f>VLOOKUP($AM54,'Elective Infra-Renal AAA Repair'!$A$7:$AP$74,42,FALSE)</f>
        <v>56</v>
      </c>
    </row>
    <row r="55" spans="2:45" ht="15.75" thickBot="1" x14ac:dyDescent="0.3">
      <c r="AE55" s="128" t="s">
        <v>75</v>
      </c>
      <c r="AF55" s="211" t="s">
        <v>76</v>
      </c>
      <c r="AG55" s="128">
        <v>54</v>
      </c>
      <c r="AH55" s="212">
        <v>0.44</v>
      </c>
      <c r="AI55" s="212">
        <v>0.56000000000000005</v>
      </c>
      <c r="AM55" s="213" t="s">
        <v>360</v>
      </c>
      <c r="AN55" s="211" t="s">
        <v>361</v>
      </c>
      <c r="AO55" s="214">
        <v>54</v>
      </c>
      <c r="AP55" s="214">
        <f>VLOOKUP($AM55,'Elective Infra-Renal AAA Repair'!$A$7:$AP$74,39,FALSE)</f>
        <v>131</v>
      </c>
      <c r="AQ55" s="214">
        <f>VLOOKUP($AM55,'Elective Infra-Renal AAA Repair'!$A$7:$AP$74,40,FALSE)</f>
        <v>41</v>
      </c>
      <c r="AR55" s="214">
        <f>VLOOKUP($AM55,'Elective Infra-Renal AAA Repair'!$A$7:$AP$74,41,FALSE)</f>
        <v>35</v>
      </c>
      <c r="AS55" s="214">
        <f>VLOOKUP($AM55,'Elective Infra-Renal AAA Repair'!$A$7:$AP$74,42,FALSE)</f>
        <v>56</v>
      </c>
    </row>
    <row r="56" spans="2:45" ht="16.5" thickBot="1" x14ac:dyDescent="0.3">
      <c r="B56" s="16" t="s">
        <v>248</v>
      </c>
      <c r="C56" s="140" t="s">
        <v>249</v>
      </c>
      <c r="D56" s="81" t="s">
        <v>250</v>
      </c>
      <c r="E56" s="140" t="s">
        <v>251</v>
      </c>
      <c r="F56" s="81" t="s">
        <v>242</v>
      </c>
      <c r="G56" s="23" t="s">
        <v>252</v>
      </c>
      <c r="H56" s="242" t="s">
        <v>156</v>
      </c>
      <c r="I56" s="242"/>
      <c r="J56" s="242"/>
      <c r="K56" s="1"/>
      <c r="AE56" s="128" t="s">
        <v>27</v>
      </c>
      <c r="AF56" s="211" t="s">
        <v>28</v>
      </c>
      <c r="AG56" s="128">
        <v>55</v>
      </c>
      <c r="AH56" s="212">
        <v>0.44</v>
      </c>
      <c r="AI56" s="212">
        <v>0.56000000000000005</v>
      </c>
      <c r="AM56" s="213" t="s">
        <v>29</v>
      </c>
      <c r="AN56" s="211" t="s">
        <v>295</v>
      </c>
      <c r="AO56" s="214">
        <v>55</v>
      </c>
      <c r="AP56" s="214">
        <f>VLOOKUP($AM56,'Elective Infra-Renal AAA Repair'!$A$7:$AP$74,39,FALSE)</f>
        <v>146</v>
      </c>
      <c r="AQ56" s="214">
        <f>VLOOKUP($AM56,'Elective Infra-Renal AAA Repair'!$A$7:$AP$74,40,FALSE)</f>
        <v>70</v>
      </c>
      <c r="AR56" s="214">
        <f>VLOOKUP($AM56,'Elective Infra-Renal AAA Repair'!$A$7:$AP$74,41,FALSE)</f>
        <v>61</v>
      </c>
      <c r="AS56" s="214">
        <f>VLOOKUP($AM56,'Elective Infra-Renal AAA Repair'!$A$7:$AP$74,42,FALSE)</f>
        <v>56</v>
      </c>
    </row>
    <row r="57" spans="2:45" ht="15.75" thickBot="1" x14ac:dyDescent="0.3">
      <c r="B57" s="16" t="s">
        <v>156</v>
      </c>
      <c r="C57" s="85">
        <v>2021</v>
      </c>
      <c r="D57" s="79">
        <f>VLOOKUP('AAA Summary'!$C$53,'AAA 2021 Report'!$A$8:$V$78,5,FALSE)</f>
        <v>0.94117649999999997</v>
      </c>
      <c r="E57" s="83">
        <f>VLOOKUP('AAA Summary'!$C$53,'AAA 2021 Report'!$A$8:$U$78,16,FALSE)</f>
        <v>2</v>
      </c>
      <c r="F57" s="79">
        <v>0.9</v>
      </c>
      <c r="AE57" s="128" t="s">
        <v>109</v>
      </c>
      <c r="AF57" s="211" t="s">
        <v>110</v>
      </c>
      <c r="AG57" s="128">
        <v>56</v>
      </c>
      <c r="AH57" s="212">
        <v>0.43</v>
      </c>
      <c r="AI57" s="212">
        <v>0.56999999999999995</v>
      </c>
      <c r="AM57" s="213" t="s">
        <v>127</v>
      </c>
      <c r="AN57" s="211" t="s">
        <v>128</v>
      </c>
      <c r="AO57" s="214">
        <v>56</v>
      </c>
      <c r="AP57" s="214">
        <f>VLOOKUP($AM57,'Elective Infra-Renal AAA Repair'!$A$7:$AP$74,39,FALSE)</f>
        <v>147</v>
      </c>
      <c r="AQ57" s="214">
        <f>VLOOKUP($AM57,'Elective Infra-Renal AAA Repair'!$A$7:$AP$74,40,FALSE)</f>
        <v>57</v>
      </c>
      <c r="AR57" s="214">
        <f>VLOOKUP($AM57,'Elective Infra-Renal AAA Repair'!$A$7:$AP$74,41,FALSE)</f>
        <v>101</v>
      </c>
      <c r="AS57" s="214">
        <f>VLOOKUP($AM57,'Elective Infra-Renal AAA Repair'!$A$7:$AP$74,42,FALSE)</f>
        <v>56</v>
      </c>
    </row>
    <row r="58" spans="2:45" ht="15.75" thickBot="1" x14ac:dyDescent="0.3">
      <c r="B58" s="16"/>
      <c r="C58" s="85">
        <v>2022</v>
      </c>
      <c r="D58" s="79">
        <f>VLOOKUP('AAA Summary'!$C$53,'AAA 2022 Report'!$A$8:$V$77,5,FALSE)</f>
        <v>0.94444439999999996</v>
      </c>
      <c r="E58" s="83">
        <f>VLOOKUP('AAA Summary'!$C$53,'AAA 2022 Report'!$A$8:$U$77,16,FALSE)</f>
        <v>2</v>
      </c>
      <c r="F58" s="79">
        <v>0.92</v>
      </c>
      <c r="AE58" s="128" t="s">
        <v>22</v>
      </c>
      <c r="AF58" s="211" t="s">
        <v>23</v>
      </c>
      <c r="AG58" s="128">
        <v>57</v>
      </c>
      <c r="AH58" s="212">
        <v>0.4</v>
      </c>
      <c r="AI58" s="212">
        <v>0.6</v>
      </c>
      <c r="AM58" s="213" t="s">
        <v>137</v>
      </c>
      <c r="AN58" s="211" t="s">
        <v>138</v>
      </c>
      <c r="AO58" s="214">
        <v>57</v>
      </c>
      <c r="AP58" s="214">
        <f>VLOOKUP($AM58,'Elective Infra-Renal AAA Repair'!$A$7:$AP$74,39,FALSE)</f>
        <v>148</v>
      </c>
      <c r="AQ58" s="214">
        <f>VLOOKUP($AM58,'Elective Infra-Renal AAA Repair'!$A$7:$AP$74,40,FALSE)</f>
        <v>63</v>
      </c>
      <c r="AR58" s="214">
        <f>VLOOKUP($AM58,'Elective Infra-Renal AAA Repair'!$A$7:$AP$74,41,FALSE)</f>
        <v>56</v>
      </c>
      <c r="AS58" s="214">
        <f>VLOOKUP($AM58,'Elective Infra-Renal AAA Repair'!$A$7:$AP$74,42,FALSE)</f>
        <v>56</v>
      </c>
    </row>
    <row r="59" spans="2:45" ht="15.75" thickBot="1" x14ac:dyDescent="0.3">
      <c r="B59" s="16"/>
      <c r="C59" s="85">
        <v>2023</v>
      </c>
      <c r="D59" s="79">
        <f>VLOOKUP('AAA Summary'!$C$53,'Elective Infra-Renal AAA Repair'!$A$8:$V$75,5,FALSE)</f>
        <v>0.94</v>
      </c>
      <c r="E59" s="83">
        <f>VLOOKUP('AAA Summary'!$C$53,'Elective Infra-Renal AAA Repair'!$A$8:$U$75,16,FALSE)</f>
        <v>2</v>
      </c>
      <c r="F59" s="79">
        <v>0.93</v>
      </c>
      <c r="L59" s="128">
        <f>MATCH(H56,'AAA 2022 Report'!$E$7:$H$7,0)</f>
        <v>1</v>
      </c>
      <c r="AE59" s="128" t="s">
        <v>35</v>
      </c>
      <c r="AF59" s="211" t="s">
        <v>36</v>
      </c>
      <c r="AG59" s="128">
        <v>58</v>
      </c>
      <c r="AH59" s="212">
        <v>0.39</v>
      </c>
      <c r="AI59" s="212">
        <v>0.61</v>
      </c>
      <c r="AM59" s="213" t="s">
        <v>133</v>
      </c>
      <c r="AN59" s="211" t="s">
        <v>134</v>
      </c>
      <c r="AO59" s="214">
        <v>58</v>
      </c>
      <c r="AP59" s="214">
        <f>VLOOKUP($AM59,'Elective Infra-Renal AAA Repair'!$A$7:$AP$74,39,FALSE)</f>
        <v>157</v>
      </c>
      <c r="AQ59" s="214">
        <f>VLOOKUP($AM59,'Elective Infra-Renal AAA Repair'!$A$7:$AP$74,40,FALSE)</f>
        <v>55</v>
      </c>
      <c r="AR59" s="214">
        <f>VLOOKUP($AM59,'Elective Infra-Renal AAA Repair'!$A$7:$AP$74,41,FALSE)</f>
        <v>20</v>
      </c>
      <c r="AS59" s="214">
        <f>VLOOKUP($AM59,'Elective Infra-Renal AAA Repair'!$A$7:$AP$74,42,FALSE)</f>
        <v>56</v>
      </c>
    </row>
    <row r="60" spans="2:45" ht="15.75" thickBot="1" x14ac:dyDescent="0.3">
      <c r="C60" s="84"/>
      <c r="D60" s="8"/>
      <c r="E60" s="84"/>
      <c r="F60" s="8"/>
      <c r="AE60" s="128" t="s">
        <v>88</v>
      </c>
      <c r="AF60" s="211" t="s">
        <v>298</v>
      </c>
      <c r="AG60" s="128">
        <v>59</v>
      </c>
      <c r="AH60" s="212">
        <v>0.39</v>
      </c>
      <c r="AI60" s="212">
        <v>0.61</v>
      </c>
      <c r="AM60" s="213" t="s">
        <v>2</v>
      </c>
      <c r="AN60" s="211" t="s">
        <v>158</v>
      </c>
      <c r="AO60" s="214">
        <v>59</v>
      </c>
      <c r="AP60" s="214">
        <f>VLOOKUP($AM60,'Elective Infra-Renal AAA Repair'!$A$7:$AP$74,39,FALSE)</f>
        <v>187</v>
      </c>
      <c r="AQ60" s="214">
        <f>VLOOKUP($AM60,'Elective Infra-Renal AAA Repair'!$A$7:$AP$74,40,FALSE)</f>
        <v>91</v>
      </c>
      <c r="AR60" s="214">
        <f>VLOOKUP($AM60,'Elective Infra-Renal AAA Repair'!$A$7:$AP$74,41,FALSE)</f>
        <v>141</v>
      </c>
      <c r="AS60" s="214">
        <f>VLOOKUP($AM60,'Elective Infra-Renal AAA Repair'!$A$7:$AP$74,42,FALSE)</f>
        <v>56</v>
      </c>
    </row>
    <row r="61" spans="2:45" ht="15.75" thickBot="1" x14ac:dyDescent="0.3">
      <c r="B61" s="16" t="s">
        <v>150</v>
      </c>
      <c r="C61" s="85">
        <v>2021</v>
      </c>
      <c r="D61" s="79">
        <f>VLOOKUP('AAA Summary'!$C$53,'AAA 2021 Report'!$A$8:$V$78,6,FALSE)</f>
        <v>1</v>
      </c>
      <c r="E61" s="83">
        <f>VLOOKUP('AAA Summary'!$C$53,'AAA 2021 Report'!$A$8:$U$78,17,FALSE)</f>
        <v>4</v>
      </c>
      <c r="F61" s="82">
        <v>0.97</v>
      </c>
      <c r="AE61" s="128" t="s">
        <v>41</v>
      </c>
      <c r="AF61" s="211" t="s">
        <v>42</v>
      </c>
      <c r="AG61" s="128">
        <v>60</v>
      </c>
      <c r="AH61" s="212">
        <v>0.39</v>
      </c>
      <c r="AI61" s="212">
        <v>0.61</v>
      </c>
      <c r="AM61" s="213"/>
      <c r="AN61" s="211"/>
      <c r="AO61" s="214"/>
      <c r="AP61" s="214"/>
      <c r="AQ61" s="214"/>
      <c r="AR61" s="214"/>
      <c r="AS61" s="214"/>
    </row>
    <row r="62" spans="2:45" ht="15.75" thickBot="1" x14ac:dyDescent="0.3">
      <c r="B62" s="16"/>
      <c r="C62" s="85">
        <v>2022</v>
      </c>
      <c r="D62" s="79">
        <f>VLOOKUP('AAA Summary'!$C$53,'AAA 2022 Report'!$A$8:$V$77,6,FALSE)</f>
        <v>1</v>
      </c>
      <c r="E62" s="83">
        <f>VLOOKUP('AAA Summary'!$C$53,'AAA 2022 Report'!$A$8:$U$77,17,FALSE)</f>
        <v>4</v>
      </c>
      <c r="F62" s="82">
        <v>0.97</v>
      </c>
      <c r="AE62" s="128" t="s">
        <v>68</v>
      </c>
      <c r="AF62" s="211" t="s">
        <v>293</v>
      </c>
      <c r="AG62" s="128">
        <v>61</v>
      </c>
      <c r="AH62" s="212">
        <v>0.38</v>
      </c>
      <c r="AI62" s="212">
        <v>0.63</v>
      </c>
      <c r="AM62" s="213"/>
      <c r="AN62" s="211"/>
      <c r="AO62" s="214"/>
      <c r="AP62" s="214"/>
      <c r="AQ62" s="214"/>
      <c r="AR62" s="214"/>
      <c r="AS62" s="214"/>
    </row>
    <row r="63" spans="2:45" ht="15.75" thickBot="1" x14ac:dyDescent="0.3">
      <c r="B63" s="16"/>
      <c r="C63" s="85">
        <v>2023</v>
      </c>
      <c r="D63" s="79">
        <f>VLOOKUP('AAA Summary'!$C$53,'Elective Infra-Renal AAA Repair'!$A$8:$V$75,6,FALSE)</f>
        <v>1</v>
      </c>
      <c r="E63" s="83">
        <f>VLOOKUP('AAA Summary'!$C$53,'Elective Infra-Renal AAA Repair'!$A$8:$U$75,17,FALSE)</f>
        <v>4</v>
      </c>
      <c r="F63" s="82">
        <v>0.97</v>
      </c>
      <c r="AE63" s="128" t="s">
        <v>133</v>
      </c>
      <c r="AF63" s="211" t="s">
        <v>134</v>
      </c>
      <c r="AG63" s="128">
        <v>62</v>
      </c>
      <c r="AH63" s="212">
        <v>0.35</v>
      </c>
      <c r="AI63" s="212">
        <v>0.65</v>
      </c>
      <c r="AM63" s="213"/>
      <c r="AN63" s="211"/>
      <c r="AO63" s="214"/>
      <c r="AP63" s="214"/>
      <c r="AQ63" s="214"/>
      <c r="AR63" s="214"/>
      <c r="AS63" s="214"/>
    </row>
    <row r="64" spans="2:45" ht="15.75" thickBot="1" x14ac:dyDescent="0.3">
      <c r="C64" s="84"/>
      <c r="D64" s="8"/>
      <c r="E64" s="84"/>
      <c r="F64" s="8"/>
      <c r="AE64" s="128" t="s">
        <v>37</v>
      </c>
      <c r="AF64" s="211" t="s">
        <v>596</v>
      </c>
      <c r="AG64" s="128">
        <v>63</v>
      </c>
      <c r="AH64" s="212">
        <v>0.27</v>
      </c>
      <c r="AI64" s="212">
        <v>0.73</v>
      </c>
      <c r="AM64" s="213"/>
      <c r="AN64" s="211"/>
      <c r="AO64" s="214"/>
      <c r="AP64" s="214"/>
      <c r="AQ64" s="214"/>
      <c r="AR64" s="214"/>
      <c r="AS64" s="214"/>
    </row>
    <row r="65" spans="2:45" ht="15.75" thickBot="1" x14ac:dyDescent="0.3">
      <c r="B65" s="16" t="s">
        <v>151</v>
      </c>
      <c r="C65" s="85">
        <v>2021</v>
      </c>
      <c r="D65" s="79">
        <f>VLOOKUP('AAA Summary'!$C$53,'AAA 2021 Report'!$A$8:$V$78,7,FALSE)</f>
        <v>0.9375</v>
      </c>
      <c r="E65" s="83">
        <f>VLOOKUP('AAA Summary'!$C$53,'AAA 2021 Report'!$A$8:$U$78,18,FALSE)</f>
        <v>2</v>
      </c>
      <c r="F65" s="82">
        <v>0.91</v>
      </c>
      <c r="AE65" s="128" t="s">
        <v>3</v>
      </c>
      <c r="AF65" s="211" t="s">
        <v>4</v>
      </c>
      <c r="AG65" s="128">
        <v>64</v>
      </c>
      <c r="AH65" s="212">
        <v>0.26</v>
      </c>
      <c r="AI65" s="212">
        <v>0.74</v>
      </c>
      <c r="AM65" s="213"/>
      <c r="AN65" s="211"/>
      <c r="AO65" s="214"/>
      <c r="AP65" s="214"/>
      <c r="AQ65" s="214"/>
      <c r="AR65" s="214"/>
      <c r="AS65" s="214"/>
    </row>
    <row r="66" spans="2:45" ht="15.75" thickBot="1" x14ac:dyDescent="0.3">
      <c r="B66" s="18"/>
      <c r="C66" s="85">
        <v>2022</v>
      </c>
      <c r="D66" s="79">
        <f>VLOOKUP('AAA Summary'!$C$53,'AAA 2022 Report'!$A$8:$V$77,7,FALSE)</f>
        <v>0.9375</v>
      </c>
      <c r="E66" s="83">
        <f>VLOOKUP('AAA Summary'!$C$53,'AAA 2022 Report'!$A$8:$U$77,18,FALSE)</f>
        <v>2</v>
      </c>
      <c r="F66" s="82">
        <v>0.92</v>
      </c>
      <c r="AE66" s="128" t="s">
        <v>115</v>
      </c>
      <c r="AF66" s="211" t="s">
        <v>116</v>
      </c>
      <c r="AG66" s="128">
        <v>65</v>
      </c>
      <c r="AH66" s="212">
        <v>0.26</v>
      </c>
      <c r="AI66" s="212">
        <v>0.74</v>
      </c>
      <c r="AM66" s="213"/>
      <c r="AN66" s="211"/>
      <c r="AO66" s="214"/>
      <c r="AP66" s="214"/>
      <c r="AQ66" s="214"/>
      <c r="AR66" s="214"/>
      <c r="AS66" s="214"/>
    </row>
    <row r="67" spans="2:45" ht="15.75" thickBot="1" x14ac:dyDescent="0.3">
      <c r="B67" s="18"/>
      <c r="C67" s="85">
        <v>2023</v>
      </c>
      <c r="D67" s="79">
        <f>VLOOKUP('AAA Summary'!$C$53,'Elective Infra-Renal AAA Repair'!$A$8:$V$75,7,FALSE)</f>
        <v>0.94</v>
      </c>
      <c r="E67" s="83">
        <f>VLOOKUP('AAA Summary'!$C$53,'Elective Infra-Renal AAA Repair'!$A$8:$U$75,18,FALSE)</f>
        <v>2</v>
      </c>
      <c r="F67" s="82">
        <v>0.94</v>
      </c>
      <c r="AE67" s="128" t="s">
        <v>137</v>
      </c>
      <c r="AF67" s="211" t="s">
        <v>138</v>
      </c>
      <c r="AG67" s="128">
        <v>66</v>
      </c>
      <c r="AH67" s="212">
        <v>0.23</v>
      </c>
      <c r="AI67" s="212">
        <v>0.77</v>
      </c>
      <c r="AM67" s="213"/>
      <c r="AN67" s="211"/>
      <c r="AO67" s="214"/>
      <c r="AP67" s="214"/>
      <c r="AQ67" s="214"/>
      <c r="AR67" s="214"/>
      <c r="AS67" s="214"/>
    </row>
    <row r="68" spans="2:45" ht="15.75" thickBot="1" x14ac:dyDescent="0.3">
      <c r="C68" s="84"/>
      <c r="D68" s="8"/>
      <c r="E68" s="84"/>
      <c r="F68" s="8"/>
      <c r="AE68" s="128" t="s">
        <v>340</v>
      </c>
      <c r="AF68" s="211" t="s">
        <v>341</v>
      </c>
      <c r="AG68" s="128">
        <v>67</v>
      </c>
      <c r="AH68" s="212">
        <v>0</v>
      </c>
      <c r="AI68" s="212">
        <v>1</v>
      </c>
      <c r="AM68" s="213"/>
      <c r="AN68" s="211"/>
      <c r="AO68" s="214"/>
      <c r="AP68" s="214"/>
      <c r="AQ68" s="214"/>
      <c r="AR68" s="214"/>
      <c r="AS68" s="214"/>
    </row>
    <row r="69" spans="2:45" ht="15.75" thickBot="1" x14ac:dyDescent="0.3">
      <c r="B69" s="29" t="s">
        <v>152</v>
      </c>
      <c r="C69" s="85">
        <v>2021</v>
      </c>
      <c r="D69" s="79">
        <f>VLOOKUP('AAA Summary'!$C$53,'AAA 2021 Report'!$A$8:$V$78,8,FALSE)</f>
        <v>0.94117649999999997</v>
      </c>
      <c r="E69" s="83">
        <f>VLOOKUP('AAA Summary'!$C$53,'AAA 2021 Report'!$A$8:$U$78,19,FALSE)</f>
        <v>3</v>
      </c>
      <c r="F69" s="82">
        <v>0.86</v>
      </c>
      <c r="AE69" s="215"/>
      <c r="AF69" s="215"/>
      <c r="AG69" s="216"/>
      <c r="AH69" s="212"/>
      <c r="AI69" s="212"/>
    </row>
    <row r="70" spans="2:45" ht="15.75" thickBot="1" x14ac:dyDescent="0.3">
      <c r="B70" s="18"/>
      <c r="C70" s="85">
        <v>2022</v>
      </c>
      <c r="D70" s="79">
        <f>VLOOKUP('AAA Summary'!$C$53,'AAA 2022 Report'!$A$8:$V$77,8,FALSE)</f>
        <v>1</v>
      </c>
      <c r="E70" s="83">
        <f>VLOOKUP('AAA Summary'!$C$53,'AAA 2022 Report'!$A$8:$U$77,19,FALSE)</f>
        <v>4</v>
      </c>
      <c r="F70" s="82">
        <v>0.87</v>
      </c>
      <c r="AE70" s="215"/>
      <c r="AF70" s="215"/>
      <c r="AG70" s="216"/>
      <c r="AH70" s="212"/>
      <c r="AI70" s="212"/>
    </row>
    <row r="71" spans="2:45" ht="15.75" thickBot="1" x14ac:dyDescent="0.3">
      <c r="B71" s="18"/>
      <c r="C71" s="85">
        <v>2023</v>
      </c>
      <c r="D71" s="79">
        <f>VLOOKUP('AAA Summary'!$C$53,'Elective Infra-Renal AAA Repair'!$A$8:$V$75,8,FALSE)</f>
        <v>1</v>
      </c>
      <c r="E71" s="83">
        <f>VLOOKUP('AAA Summary'!$C$53,'Elective Infra-Renal AAA Repair'!$A$8:$U$75,19,FALSE)</f>
        <v>4</v>
      </c>
      <c r="F71" s="82">
        <v>0.88</v>
      </c>
      <c r="AE71" s="215"/>
      <c r="AF71" s="215"/>
      <c r="AG71" s="216"/>
      <c r="AH71" s="212"/>
      <c r="AI71" s="212"/>
    </row>
  </sheetData>
  <mergeCells count="2">
    <mergeCell ref="B54:C54"/>
    <mergeCell ref="H56:J56"/>
  </mergeCells>
  <pageMargins left="0.70866141732283472" right="0.70866141732283472" top="0.74803149606299213" bottom="0.74803149606299213" header="0.31496062992125984" footer="0.31496062992125984"/>
  <pageSetup paperSize="9" scale="45"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'Elective Infra-Renal AAA Repair'!$B$8:$B$74</xm:f>
          </x14:formula1>
          <xm:sqref>B1</xm:sqref>
        </x14:dataValidation>
        <x14:dataValidation type="list" allowBlank="1" showInputMessage="1" showErrorMessage="1">
          <x14:formula1>
            <xm:f>'AAA 2021 Report'!$E$7:$H$7</xm:f>
          </x14:formula1>
          <xm:sqref>H56</xm:sqref>
        </x14:dataValidation>
        <x14:dataValidation type="list" allowBlank="1" showInputMessage="1" showErrorMessage="1">
          <x14:formula1>
            <xm:f>'Elective Infra-Renal AAA Repair'!$X$7:$Y$7</xm:f>
          </x14:formula1>
          <xm:sqref>L28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7"/>
  <sheetViews>
    <sheetView workbookViewId="0">
      <selection activeCell="B11" sqref="B11"/>
    </sheetView>
  </sheetViews>
  <sheetFormatPr defaultRowHeight="15" x14ac:dyDescent="0.25"/>
  <cols>
    <col min="1" max="1" width="10.42578125" bestFit="1" customWidth="1"/>
    <col min="2" max="2" width="9.7109375" bestFit="1" customWidth="1"/>
    <col min="3" max="3" width="15.42578125" bestFit="1" customWidth="1"/>
  </cols>
  <sheetData>
    <row r="1" spans="1:3" x14ac:dyDescent="0.25">
      <c r="A1" s="60" t="s">
        <v>243</v>
      </c>
      <c r="B1" s="60" t="s">
        <v>244</v>
      </c>
      <c r="C1" s="60" t="s">
        <v>245</v>
      </c>
    </row>
    <row r="2" spans="1:3" x14ac:dyDescent="0.25">
      <c r="A2" t="s">
        <v>0</v>
      </c>
      <c r="B2">
        <v>73</v>
      </c>
      <c r="C2" s="24">
        <v>0</v>
      </c>
    </row>
    <row r="3" spans="1:3" x14ac:dyDescent="0.25">
      <c r="A3" t="s">
        <v>2</v>
      </c>
      <c r="B3">
        <v>177</v>
      </c>
      <c r="C3" s="24">
        <v>2.4</v>
      </c>
    </row>
    <row r="4" spans="1:3" x14ac:dyDescent="0.25">
      <c r="A4" t="s">
        <v>3</v>
      </c>
      <c r="B4">
        <v>59</v>
      </c>
      <c r="C4" s="24">
        <v>3.6999999999999997</v>
      </c>
    </row>
    <row r="5" spans="1:3" x14ac:dyDescent="0.25">
      <c r="A5" t="s">
        <v>8</v>
      </c>
      <c r="B5">
        <v>293</v>
      </c>
      <c r="C5" s="24">
        <v>1.6</v>
      </c>
    </row>
    <row r="6" spans="1:3" x14ac:dyDescent="0.25">
      <c r="A6" t="s">
        <v>333</v>
      </c>
      <c r="B6">
        <v>157</v>
      </c>
      <c r="C6" s="24">
        <v>2.1</v>
      </c>
    </row>
    <row r="7" spans="1:3" x14ac:dyDescent="0.25">
      <c r="A7" t="s">
        <v>336</v>
      </c>
      <c r="B7">
        <v>102</v>
      </c>
      <c r="C7" s="24">
        <v>0</v>
      </c>
    </row>
    <row r="8" spans="1:3" x14ac:dyDescent="0.25">
      <c r="A8" t="s">
        <v>10</v>
      </c>
      <c r="B8">
        <v>43</v>
      </c>
      <c r="C8" s="24">
        <v>2.6</v>
      </c>
    </row>
    <row r="9" spans="1:3" x14ac:dyDescent="0.25">
      <c r="A9" t="s">
        <v>12</v>
      </c>
      <c r="B9">
        <v>112</v>
      </c>
      <c r="C9" s="24">
        <v>1.4000000000000001</v>
      </c>
    </row>
    <row r="10" spans="1:3" x14ac:dyDescent="0.25">
      <c r="A10" t="s">
        <v>15</v>
      </c>
      <c r="B10">
        <v>109</v>
      </c>
      <c r="C10" s="24">
        <v>0.89999999999999991</v>
      </c>
    </row>
    <row r="11" spans="1:3" x14ac:dyDescent="0.25">
      <c r="A11" t="s">
        <v>17</v>
      </c>
      <c r="B11">
        <v>205</v>
      </c>
      <c r="C11" s="24">
        <v>1.7000000000000002</v>
      </c>
    </row>
    <row r="12" spans="1:3" x14ac:dyDescent="0.25">
      <c r="A12" t="s">
        <v>18</v>
      </c>
      <c r="B12">
        <v>66</v>
      </c>
      <c r="C12" s="24">
        <v>3.3000000000000003</v>
      </c>
    </row>
    <row r="13" spans="1:3" x14ac:dyDescent="0.25">
      <c r="A13" t="s">
        <v>417</v>
      </c>
      <c r="B13">
        <v>185</v>
      </c>
      <c r="C13" s="24">
        <v>1.7999999999999998</v>
      </c>
    </row>
    <row r="14" spans="1:3" x14ac:dyDescent="0.25">
      <c r="A14" t="s">
        <v>22</v>
      </c>
      <c r="B14">
        <v>232</v>
      </c>
      <c r="C14" s="24">
        <v>2.8000000000000003</v>
      </c>
    </row>
    <row r="15" spans="1:3" x14ac:dyDescent="0.25">
      <c r="A15" t="s">
        <v>24</v>
      </c>
      <c r="B15">
        <v>148</v>
      </c>
      <c r="C15" s="24">
        <v>3.1</v>
      </c>
    </row>
    <row r="16" spans="1:3" x14ac:dyDescent="0.25">
      <c r="A16" t="s">
        <v>25</v>
      </c>
      <c r="B16">
        <v>122</v>
      </c>
      <c r="C16" s="24">
        <v>3</v>
      </c>
    </row>
    <row r="17" spans="1:3" x14ac:dyDescent="0.25">
      <c r="A17" t="s">
        <v>27</v>
      </c>
      <c r="B17">
        <v>93</v>
      </c>
      <c r="C17" s="24">
        <v>1.4000000000000001</v>
      </c>
    </row>
    <row r="18" spans="1:3" x14ac:dyDescent="0.25">
      <c r="A18" t="s">
        <v>29</v>
      </c>
      <c r="B18">
        <v>295</v>
      </c>
      <c r="C18" s="24">
        <v>1.3</v>
      </c>
    </row>
    <row r="19" spans="1:3" x14ac:dyDescent="0.25">
      <c r="A19" t="s">
        <v>30</v>
      </c>
      <c r="B19">
        <v>90</v>
      </c>
      <c r="C19" s="24">
        <v>1.3</v>
      </c>
    </row>
    <row r="20" spans="1:3" x14ac:dyDescent="0.25">
      <c r="A20" t="s">
        <v>35</v>
      </c>
      <c r="B20">
        <v>214</v>
      </c>
      <c r="C20" s="24">
        <v>2.4</v>
      </c>
    </row>
    <row r="21" spans="1:3" x14ac:dyDescent="0.25">
      <c r="A21" t="s">
        <v>348</v>
      </c>
      <c r="B21">
        <v>167</v>
      </c>
      <c r="C21" s="24">
        <v>4.8</v>
      </c>
    </row>
    <row r="22" spans="1:3" x14ac:dyDescent="0.25">
      <c r="A22" t="s">
        <v>37</v>
      </c>
      <c r="B22">
        <v>114</v>
      </c>
      <c r="C22" s="24">
        <v>1.9</v>
      </c>
    </row>
    <row r="23" spans="1:3" x14ac:dyDescent="0.25">
      <c r="A23" t="s">
        <v>39</v>
      </c>
      <c r="B23">
        <v>199</v>
      </c>
      <c r="C23" s="24">
        <v>1.6</v>
      </c>
    </row>
    <row r="24" spans="1:3" x14ac:dyDescent="0.25">
      <c r="A24" t="s">
        <v>41</v>
      </c>
      <c r="B24">
        <v>134</v>
      </c>
      <c r="C24" s="24">
        <v>2.5</v>
      </c>
    </row>
    <row r="25" spans="1:3" x14ac:dyDescent="0.25">
      <c r="A25" t="s">
        <v>45</v>
      </c>
      <c r="B25">
        <v>86</v>
      </c>
      <c r="C25" s="24">
        <v>1.2</v>
      </c>
    </row>
    <row r="26" spans="1:3" x14ac:dyDescent="0.25">
      <c r="A26" t="s">
        <v>47</v>
      </c>
      <c r="B26">
        <v>98</v>
      </c>
      <c r="C26" s="24">
        <v>1</v>
      </c>
    </row>
    <row r="27" spans="1:3" x14ac:dyDescent="0.25">
      <c r="A27" t="s">
        <v>49</v>
      </c>
      <c r="B27">
        <v>156</v>
      </c>
      <c r="C27" s="24">
        <v>3.4000000000000004</v>
      </c>
    </row>
    <row r="28" spans="1:3" x14ac:dyDescent="0.25">
      <c r="A28" t="s">
        <v>51</v>
      </c>
      <c r="B28">
        <v>204</v>
      </c>
      <c r="C28" s="24">
        <v>1.5</v>
      </c>
    </row>
    <row r="29" spans="1:3" x14ac:dyDescent="0.25">
      <c r="A29" t="s">
        <v>53</v>
      </c>
      <c r="B29">
        <v>214</v>
      </c>
      <c r="C29" s="24">
        <v>2</v>
      </c>
    </row>
    <row r="30" spans="1:3" x14ac:dyDescent="0.25">
      <c r="A30" t="s">
        <v>55</v>
      </c>
      <c r="B30">
        <v>108</v>
      </c>
      <c r="C30" s="24">
        <v>1</v>
      </c>
    </row>
    <row r="31" spans="1:3" x14ac:dyDescent="0.25">
      <c r="A31" t="s">
        <v>56</v>
      </c>
      <c r="B31">
        <v>109</v>
      </c>
      <c r="C31" s="24">
        <v>1.9</v>
      </c>
    </row>
    <row r="32" spans="1:3" x14ac:dyDescent="0.25">
      <c r="A32" t="s">
        <v>60</v>
      </c>
      <c r="B32">
        <v>160</v>
      </c>
      <c r="C32" s="24">
        <v>3.8</v>
      </c>
    </row>
    <row r="33" spans="1:3" x14ac:dyDescent="0.25">
      <c r="A33" t="s">
        <v>429</v>
      </c>
      <c r="B33">
        <v>224</v>
      </c>
      <c r="C33" s="24">
        <v>1.3</v>
      </c>
    </row>
    <row r="34" spans="1:3" x14ac:dyDescent="0.25">
      <c r="A34" t="s">
        <v>64</v>
      </c>
      <c r="B34">
        <v>123</v>
      </c>
      <c r="C34" s="24">
        <v>2.8000000000000003</v>
      </c>
    </row>
    <row r="35" spans="1:3" x14ac:dyDescent="0.25">
      <c r="A35" t="s">
        <v>433</v>
      </c>
      <c r="B35">
        <v>102</v>
      </c>
      <c r="C35" s="24">
        <v>0.89999999999999991</v>
      </c>
    </row>
    <row r="36" spans="1:3" x14ac:dyDescent="0.25">
      <c r="A36" t="s">
        <v>66</v>
      </c>
      <c r="B36">
        <v>99</v>
      </c>
      <c r="C36" s="24">
        <v>1</v>
      </c>
    </row>
    <row r="37" spans="1:3" x14ac:dyDescent="0.25">
      <c r="A37" t="s">
        <v>68</v>
      </c>
      <c r="B37">
        <v>119</v>
      </c>
      <c r="C37" s="24">
        <v>0.8</v>
      </c>
    </row>
    <row r="38" spans="1:3" x14ac:dyDescent="0.25">
      <c r="A38" t="s">
        <v>71</v>
      </c>
      <c r="B38">
        <v>3</v>
      </c>
      <c r="C38" s="24">
        <v>0</v>
      </c>
    </row>
    <row r="39" spans="1:3" x14ac:dyDescent="0.25">
      <c r="A39" t="s">
        <v>75</v>
      </c>
      <c r="B39">
        <v>141</v>
      </c>
      <c r="C39" s="24">
        <v>1.3</v>
      </c>
    </row>
    <row r="40" spans="1:3" x14ac:dyDescent="0.25">
      <c r="A40" t="s">
        <v>77</v>
      </c>
      <c r="B40">
        <v>92</v>
      </c>
      <c r="C40" s="24">
        <v>2.4</v>
      </c>
    </row>
    <row r="41" spans="1:3" x14ac:dyDescent="0.25">
      <c r="A41" t="s">
        <v>81</v>
      </c>
      <c r="B41">
        <v>4</v>
      </c>
      <c r="C41" s="24">
        <v>12.5</v>
      </c>
    </row>
    <row r="42" spans="1:3" x14ac:dyDescent="0.25">
      <c r="A42" t="s">
        <v>83</v>
      </c>
      <c r="B42">
        <v>239</v>
      </c>
      <c r="C42" s="24">
        <v>3.2</v>
      </c>
    </row>
    <row r="43" spans="1:3" x14ac:dyDescent="0.25">
      <c r="A43" t="s">
        <v>85</v>
      </c>
      <c r="B43">
        <v>174</v>
      </c>
      <c r="C43" s="24">
        <v>1.2</v>
      </c>
    </row>
    <row r="44" spans="1:3" x14ac:dyDescent="0.25">
      <c r="A44" t="s">
        <v>87</v>
      </c>
      <c r="B44">
        <v>83</v>
      </c>
      <c r="C44" s="24">
        <v>0</v>
      </c>
    </row>
    <row r="45" spans="1:3" x14ac:dyDescent="0.25">
      <c r="A45" t="s">
        <v>88</v>
      </c>
      <c r="B45">
        <v>267</v>
      </c>
      <c r="C45" s="24">
        <v>2.8000000000000003</v>
      </c>
    </row>
    <row r="46" spans="1:3" x14ac:dyDescent="0.25">
      <c r="A46" t="s">
        <v>90</v>
      </c>
      <c r="B46">
        <v>121</v>
      </c>
      <c r="C46" s="24">
        <v>0.70000000000000007</v>
      </c>
    </row>
    <row r="47" spans="1:3" x14ac:dyDescent="0.25">
      <c r="A47" t="s">
        <v>92</v>
      </c>
      <c r="B47">
        <v>227</v>
      </c>
      <c r="C47" s="24">
        <v>3.5999999999999996</v>
      </c>
    </row>
    <row r="48" spans="1:3" x14ac:dyDescent="0.25">
      <c r="A48" t="s">
        <v>94</v>
      </c>
      <c r="B48">
        <v>157</v>
      </c>
      <c r="C48" s="24">
        <v>1.4000000000000001</v>
      </c>
    </row>
    <row r="49" spans="1:3" x14ac:dyDescent="0.25">
      <c r="A49" t="s">
        <v>96</v>
      </c>
      <c r="B49">
        <v>184</v>
      </c>
      <c r="C49" s="24">
        <v>3.8</v>
      </c>
    </row>
    <row r="50" spans="1:3" x14ac:dyDescent="0.25">
      <c r="A50" t="s">
        <v>97</v>
      </c>
      <c r="B50">
        <v>141</v>
      </c>
      <c r="C50" s="24">
        <v>4.3</v>
      </c>
    </row>
    <row r="51" spans="1:3" x14ac:dyDescent="0.25">
      <c r="A51" t="s">
        <v>99</v>
      </c>
      <c r="B51">
        <v>168</v>
      </c>
      <c r="C51" s="24">
        <v>0</v>
      </c>
    </row>
    <row r="52" spans="1:3" x14ac:dyDescent="0.25">
      <c r="A52" t="s">
        <v>101</v>
      </c>
      <c r="B52">
        <v>123</v>
      </c>
      <c r="C52" s="24">
        <v>3</v>
      </c>
    </row>
    <row r="53" spans="1:3" x14ac:dyDescent="0.25">
      <c r="A53" t="s">
        <v>103</v>
      </c>
      <c r="B53">
        <v>86</v>
      </c>
      <c r="C53" s="24">
        <v>3</v>
      </c>
    </row>
    <row r="54" spans="1:3" x14ac:dyDescent="0.25">
      <c r="A54" t="s">
        <v>105</v>
      </c>
      <c r="B54">
        <v>158</v>
      </c>
      <c r="C54" s="24">
        <v>2.9000000000000004</v>
      </c>
    </row>
    <row r="55" spans="1:3" x14ac:dyDescent="0.25">
      <c r="A55" t="s">
        <v>109</v>
      </c>
      <c r="B55">
        <v>195</v>
      </c>
      <c r="C55" s="24">
        <v>2</v>
      </c>
    </row>
    <row r="56" spans="1:3" x14ac:dyDescent="0.25">
      <c r="A56" t="s">
        <v>113</v>
      </c>
      <c r="B56">
        <v>238</v>
      </c>
      <c r="C56" s="24">
        <v>1.0999999999999999</v>
      </c>
    </row>
    <row r="57" spans="1:3" x14ac:dyDescent="0.25">
      <c r="A57" t="s">
        <v>115</v>
      </c>
      <c r="B57">
        <v>122</v>
      </c>
      <c r="C57" s="24">
        <v>6.5</v>
      </c>
    </row>
    <row r="58" spans="1:3" x14ac:dyDescent="0.25">
      <c r="A58" t="s">
        <v>117</v>
      </c>
      <c r="B58">
        <v>87</v>
      </c>
      <c r="C58" s="24">
        <v>2.5</v>
      </c>
    </row>
    <row r="59" spans="1:3" x14ac:dyDescent="0.25">
      <c r="A59" t="s">
        <v>119</v>
      </c>
      <c r="B59">
        <v>141</v>
      </c>
      <c r="C59" s="24">
        <v>3.5999999999999996</v>
      </c>
    </row>
    <row r="60" spans="1:3" x14ac:dyDescent="0.25">
      <c r="A60" t="s">
        <v>360</v>
      </c>
      <c r="B60">
        <v>118</v>
      </c>
      <c r="C60" s="24">
        <v>3</v>
      </c>
    </row>
    <row r="61" spans="1:3" x14ac:dyDescent="0.25">
      <c r="A61" t="s">
        <v>123</v>
      </c>
      <c r="B61">
        <v>125</v>
      </c>
      <c r="C61" s="24">
        <v>0</v>
      </c>
    </row>
    <row r="62" spans="1:3" x14ac:dyDescent="0.25">
      <c r="A62" t="s">
        <v>125</v>
      </c>
      <c r="B62">
        <v>64</v>
      </c>
      <c r="C62" s="24">
        <v>0</v>
      </c>
    </row>
    <row r="63" spans="1:3" x14ac:dyDescent="0.25">
      <c r="A63" t="s">
        <v>127</v>
      </c>
      <c r="B63">
        <v>88</v>
      </c>
      <c r="C63" s="24">
        <v>2</v>
      </c>
    </row>
    <row r="64" spans="1:3" x14ac:dyDescent="0.25">
      <c r="A64" t="s">
        <v>129</v>
      </c>
      <c r="B64">
        <v>42</v>
      </c>
      <c r="C64" s="24">
        <v>0</v>
      </c>
    </row>
    <row r="65" spans="1:3" x14ac:dyDescent="0.25">
      <c r="A65" t="s">
        <v>131</v>
      </c>
      <c r="B65">
        <v>93</v>
      </c>
      <c r="C65" s="24">
        <v>1.0999999999999999</v>
      </c>
    </row>
    <row r="66" spans="1:3" x14ac:dyDescent="0.25">
      <c r="A66" t="s">
        <v>133</v>
      </c>
      <c r="B66">
        <v>51</v>
      </c>
      <c r="C66" s="24">
        <v>2.1</v>
      </c>
    </row>
    <row r="67" spans="1:3" x14ac:dyDescent="0.25">
      <c r="A67" t="s">
        <v>137</v>
      </c>
      <c r="B67">
        <v>336</v>
      </c>
      <c r="C67" s="24">
        <v>2.7</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topLeftCell="A31" workbookViewId="0">
      <selection activeCell="E9" sqref="E9"/>
    </sheetView>
  </sheetViews>
  <sheetFormatPr defaultRowHeight="15" x14ac:dyDescent="0.25"/>
  <cols>
    <col min="1" max="4" width="9.140625" style="8"/>
  </cols>
  <sheetData>
    <row r="1" spans="1:6" x14ac:dyDescent="0.25">
      <c r="A1" s="8" t="s">
        <v>238</v>
      </c>
      <c r="B1" s="8" t="s">
        <v>239</v>
      </c>
      <c r="C1" s="8" t="s">
        <v>241</v>
      </c>
      <c r="D1" s="8" t="s">
        <v>242</v>
      </c>
      <c r="E1" t="s">
        <v>714</v>
      </c>
      <c r="F1" t="s">
        <v>715</v>
      </c>
    </row>
    <row r="2" spans="1:6" x14ac:dyDescent="0.25">
      <c r="A2" s="8" t="s">
        <v>255</v>
      </c>
      <c r="B2">
        <v>1</v>
      </c>
      <c r="C2">
        <v>193.0855</v>
      </c>
      <c r="D2" s="138">
        <v>1.4</v>
      </c>
      <c r="E2">
        <v>98.930760000000006</v>
      </c>
      <c r="F2">
        <v>0</v>
      </c>
    </row>
    <row r="3" spans="1:6" x14ac:dyDescent="0.25">
      <c r="A3" s="8" t="s">
        <v>255</v>
      </c>
      <c r="B3">
        <v>5</v>
      </c>
      <c r="C3">
        <v>50.306339999999999</v>
      </c>
      <c r="D3" s="138">
        <v>1.4</v>
      </c>
      <c r="E3">
        <v>33.266240000000003</v>
      </c>
      <c r="F3">
        <v>0</v>
      </c>
    </row>
    <row r="4" spans="1:6" x14ac:dyDescent="0.25">
      <c r="A4" s="8" t="s">
        <v>255</v>
      </c>
      <c r="B4">
        <v>7</v>
      </c>
      <c r="C4">
        <v>39.713529999999999</v>
      </c>
      <c r="D4" s="138">
        <v>1.4</v>
      </c>
      <c r="E4">
        <v>25.36589</v>
      </c>
      <c r="F4">
        <v>0</v>
      </c>
    </row>
    <row r="5" spans="1:6" x14ac:dyDescent="0.25">
      <c r="A5" s="8" t="s">
        <v>255</v>
      </c>
      <c r="B5">
        <v>9</v>
      </c>
      <c r="C5">
        <v>32.08822</v>
      </c>
      <c r="D5" s="138">
        <v>1.4</v>
      </c>
      <c r="E5">
        <v>20.49935</v>
      </c>
      <c r="F5">
        <v>0</v>
      </c>
    </row>
    <row r="6" spans="1:6" x14ac:dyDescent="0.25">
      <c r="A6" s="8" t="s">
        <v>255</v>
      </c>
      <c r="B6">
        <v>11</v>
      </c>
      <c r="C6">
        <v>26.78396</v>
      </c>
      <c r="D6" s="138">
        <v>1.4</v>
      </c>
      <c r="E6">
        <v>17.226420000000001</v>
      </c>
      <c r="F6">
        <v>0</v>
      </c>
    </row>
    <row r="7" spans="1:6" x14ac:dyDescent="0.25">
      <c r="A7" s="8" t="s">
        <v>255</v>
      </c>
      <c r="B7">
        <v>15</v>
      </c>
      <c r="C7">
        <v>21.200790000000001</v>
      </c>
      <c r="D7" s="138">
        <v>1.4</v>
      </c>
      <c r="E7">
        <v>13.12158</v>
      </c>
      <c r="F7">
        <v>0</v>
      </c>
    </row>
    <row r="8" spans="1:6" x14ac:dyDescent="0.25">
      <c r="A8" s="8" t="s">
        <v>255</v>
      </c>
      <c r="B8">
        <v>16</v>
      </c>
      <c r="C8">
        <v>20.849959999999999</v>
      </c>
      <c r="D8" s="138">
        <v>1.4</v>
      </c>
      <c r="E8">
        <v>12.39714</v>
      </c>
      <c r="F8">
        <v>0</v>
      </c>
    </row>
    <row r="9" spans="1:6" x14ac:dyDescent="0.25">
      <c r="A9" s="8" t="s">
        <v>255</v>
      </c>
      <c r="B9">
        <v>18</v>
      </c>
      <c r="C9">
        <v>19.740469999999998</v>
      </c>
      <c r="D9" s="138">
        <v>1.4</v>
      </c>
      <c r="E9">
        <v>11.64705</v>
      </c>
      <c r="F9">
        <v>0</v>
      </c>
    </row>
    <row r="10" spans="1:6" x14ac:dyDescent="0.25">
      <c r="A10" s="8" t="s">
        <v>255</v>
      </c>
      <c r="B10">
        <v>23</v>
      </c>
      <c r="C10">
        <v>16.642800000000001</v>
      </c>
      <c r="D10" s="138">
        <v>1.4</v>
      </c>
      <c r="E10">
        <v>10.735580000000001</v>
      </c>
      <c r="F10">
        <v>0</v>
      </c>
    </row>
    <row r="11" spans="1:6" x14ac:dyDescent="0.25">
      <c r="A11" s="8" t="s">
        <v>255</v>
      </c>
      <c r="B11">
        <v>28</v>
      </c>
      <c r="C11">
        <v>14.11896</v>
      </c>
      <c r="D11" s="138">
        <v>1.4</v>
      </c>
      <c r="E11">
        <v>9.5639190000000003</v>
      </c>
      <c r="F11">
        <v>0</v>
      </c>
    </row>
    <row r="12" spans="1:6" x14ac:dyDescent="0.25">
      <c r="A12" s="8" t="s">
        <v>255</v>
      </c>
      <c r="B12">
        <v>34</v>
      </c>
      <c r="C12">
        <v>12.74004</v>
      </c>
      <c r="D12" s="138">
        <v>1.4</v>
      </c>
      <c r="E12">
        <v>8.3424180000000003</v>
      </c>
      <c r="F12">
        <v>0</v>
      </c>
    </row>
    <row r="13" spans="1:6" x14ac:dyDescent="0.25">
      <c r="A13" s="8" t="s">
        <v>255</v>
      </c>
      <c r="B13">
        <v>44</v>
      </c>
      <c r="C13">
        <v>10.9727</v>
      </c>
      <c r="D13" s="138">
        <v>1.4</v>
      </c>
      <c r="E13">
        <v>6.8998150000000003</v>
      </c>
      <c r="F13">
        <v>0</v>
      </c>
    </row>
    <row r="14" spans="1:6" x14ac:dyDescent="0.25">
      <c r="A14" s="8" t="s">
        <v>255</v>
      </c>
      <c r="B14">
        <v>47</v>
      </c>
      <c r="C14">
        <v>10.4268</v>
      </c>
      <c r="D14" s="138">
        <v>1.4</v>
      </c>
      <c r="E14">
        <v>6.8436050000000002</v>
      </c>
      <c r="F14">
        <v>0</v>
      </c>
    </row>
    <row r="15" spans="1:6" x14ac:dyDescent="0.25">
      <c r="A15" s="8" t="s">
        <v>255</v>
      </c>
      <c r="B15">
        <v>51</v>
      </c>
      <c r="C15">
        <v>9.7522520000000004</v>
      </c>
      <c r="D15" s="138">
        <v>1.4</v>
      </c>
      <c r="E15">
        <v>6.6760820000000001</v>
      </c>
      <c r="F15">
        <v>0</v>
      </c>
    </row>
    <row r="16" spans="1:6" x14ac:dyDescent="0.25">
      <c r="A16" s="8" t="s">
        <v>255</v>
      </c>
      <c r="B16">
        <v>53</v>
      </c>
      <c r="C16">
        <v>9.4749060000000007</v>
      </c>
      <c r="D16" s="138">
        <v>1.4</v>
      </c>
      <c r="E16">
        <v>6.5704229999999999</v>
      </c>
      <c r="F16">
        <v>0</v>
      </c>
    </row>
    <row r="17" spans="1:6" x14ac:dyDescent="0.25">
      <c r="A17" s="8" t="s">
        <v>255</v>
      </c>
      <c r="B17">
        <v>54</v>
      </c>
      <c r="C17">
        <v>9.4677260000000008</v>
      </c>
      <c r="D17" s="138">
        <v>1.4</v>
      </c>
      <c r="E17">
        <v>6.514386</v>
      </c>
      <c r="F17">
        <v>0</v>
      </c>
    </row>
    <row r="18" spans="1:6" x14ac:dyDescent="0.25">
      <c r="A18" s="8" t="s">
        <v>255</v>
      </c>
      <c r="B18">
        <v>59</v>
      </c>
      <c r="C18">
        <v>9.2456770000000006</v>
      </c>
      <c r="D18" s="138">
        <v>1.4</v>
      </c>
      <c r="E18">
        <v>6.2181610000000003</v>
      </c>
      <c r="F18">
        <v>0</v>
      </c>
    </row>
    <row r="19" spans="1:6" x14ac:dyDescent="0.25">
      <c r="A19" s="8" t="s">
        <v>255</v>
      </c>
      <c r="B19">
        <v>62</v>
      </c>
      <c r="C19">
        <v>9.0277790000000007</v>
      </c>
      <c r="D19" s="138">
        <v>1.4</v>
      </c>
      <c r="E19">
        <v>6.0369989999999998</v>
      </c>
      <c r="F19">
        <v>0</v>
      </c>
    </row>
    <row r="20" spans="1:6" x14ac:dyDescent="0.25">
      <c r="A20" s="8" t="s">
        <v>255</v>
      </c>
      <c r="B20">
        <v>64</v>
      </c>
      <c r="C20">
        <v>8.8659649999999992</v>
      </c>
      <c r="D20" s="138">
        <v>1.4</v>
      </c>
      <c r="E20">
        <v>5.9175940000000002</v>
      </c>
      <c r="F20">
        <v>0</v>
      </c>
    </row>
    <row r="21" spans="1:6" x14ac:dyDescent="0.25">
      <c r="A21" s="8" t="s">
        <v>255</v>
      </c>
      <c r="B21">
        <v>65</v>
      </c>
      <c r="C21">
        <v>8.7821700000000007</v>
      </c>
      <c r="D21" s="138">
        <v>1.4</v>
      </c>
      <c r="E21">
        <v>5.8586130000000001</v>
      </c>
      <c r="F21">
        <v>0</v>
      </c>
    </row>
    <row r="22" spans="1:6" x14ac:dyDescent="0.25">
      <c r="A22" s="8" t="s">
        <v>255</v>
      </c>
      <c r="B22">
        <v>69</v>
      </c>
      <c r="C22">
        <v>8.4384370000000004</v>
      </c>
      <c r="D22" s="138">
        <v>1.4</v>
      </c>
      <c r="E22">
        <v>5.6290459999999998</v>
      </c>
      <c r="F22">
        <v>0</v>
      </c>
    </row>
    <row r="23" spans="1:6" x14ac:dyDescent="0.25">
      <c r="A23" s="8" t="s">
        <v>255</v>
      </c>
      <c r="B23">
        <v>74</v>
      </c>
      <c r="C23">
        <v>8.0108390000000007</v>
      </c>
      <c r="D23" s="138">
        <v>1.4</v>
      </c>
      <c r="E23">
        <v>5.3592060000000004</v>
      </c>
      <c r="F23">
        <v>0</v>
      </c>
    </row>
    <row r="24" spans="1:6" x14ac:dyDescent="0.25">
      <c r="A24" s="8" t="s">
        <v>255</v>
      </c>
      <c r="B24">
        <v>83</v>
      </c>
      <c r="C24">
        <v>7.588012</v>
      </c>
      <c r="D24" s="138">
        <v>1.4</v>
      </c>
      <c r="E24">
        <v>5.1823740000000003</v>
      </c>
      <c r="F24">
        <v>0</v>
      </c>
    </row>
    <row r="25" spans="1:6" x14ac:dyDescent="0.25">
      <c r="A25" s="8" t="s">
        <v>255</v>
      </c>
      <c r="B25">
        <v>84</v>
      </c>
      <c r="C25">
        <v>7.5622030000000002</v>
      </c>
      <c r="D25" s="138">
        <v>1.4</v>
      </c>
      <c r="E25">
        <v>5.1652979999999999</v>
      </c>
      <c r="F25">
        <v>0</v>
      </c>
    </row>
    <row r="26" spans="1:6" x14ac:dyDescent="0.25">
      <c r="A26" s="8" t="s">
        <v>255</v>
      </c>
      <c r="B26">
        <v>86</v>
      </c>
      <c r="C26">
        <v>7.4999339999999997</v>
      </c>
      <c r="D26" s="138">
        <v>1.4</v>
      </c>
      <c r="E26">
        <v>5.1267769999999997</v>
      </c>
      <c r="F26">
        <v>0</v>
      </c>
    </row>
    <row r="27" spans="1:6" x14ac:dyDescent="0.25">
      <c r="A27" s="8" t="s">
        <v>255</v>
      </c>
      <c r="B27">
        <v>92</v>
      </c>
      <c r="C27">
        <v>7.25685</v>
      </c>
      <c r="D27" s="138">
        <v>1.4</v>
      </c>
      <c r="E27">
        <v>4.9868189999999997</v>
      </c>
      <c r="F27">
        <v>0</v>
      </c>
    </row>
    <row r="28" spans="1:6" x14ac:dyDescent="0.25">
      <c r="A28" s="8" t="s">
        <v>255</v>
      </c>
      <c r="B28">
        <v>94</v>
      </c>
      <c r="C28">
        <v>7.1647990000000004</v>
      </c>
      <c r="D28" s="138">
        <v>1.4</v>
      </c>
      <c r="E28">
        <v>4.9350120000000004</v>
      </c>
      <c r="F28">
        <v>0</v>
      </c>
    </row>
    <row r="29" spans="1:6" x14ac:dyDescent="0.25">
      <c r="A29" s="8" t="s">
        <v>255</v>
      </c>
      <c r="B29">
        <v>95</v>
      </c>
      <c r="C29">
        <v>7.1176389999999996</v>
      </c>
      <c r="D29" s="138">
        <v>1.4</v>
      </c>
      <c r="E29">
        <v>4.9085219999999996</v>
      </c>
      <c r="F29">
        <v>0</v>
      </c>
    </row>
    <row r="30" spans="1:6" x14ac:dyDescent="0.25">
      <c r="A30" s="8" t="s">
        <v>255</v>
      </c>
      <c r="B30">
        <v>96</v>
      </c>
      <c r="C30">
        <v>7.0699240000000003</v>
      </c>
      <c r="D30" s="138">
        <v>1.4</v>
      </c>
      <c r="E30">
        <v>4.8817279999999998</v>
      </c>
      <c r="F30">
        <v>0</v>
      </c>
    </row>
    <row r="31" spans="1:6" x14ac:dyDescent="0.25">
      <c r="A31" s="8" t="s">
        <v>255</v>
      </c>
      <c r="B31">
        <v>97</v>
      </c>
      <c r="C31">
        <v>7.0217840000000002</v>
      </c>
      <c r="D31" s="138">
        <v>1.4</v>
      </c>
      <c r="E31">
        <v>4.8546870000000002</v>
      </c>
      <c r="F31">
        <v>0</v>
      </c>
    </row>
    <row r="32" spans="1:6" x14ac:dyDescent="0.25">
      <c r="A32" s="8" t="s">
        <v>255</v>
      </c>
      <c r="B32">
        <v>103</v>
      </c>
      <c r="C32">
        <v>6.7296449999999997</v>
      </c>
      <c r="D32" s="138">
        <v>1.4</v>
      </c>
      <c r="E32">
        <v>4.6898489999999997</v>
      </c>
      <c r="F32">
        <v>0</v>
      </c>
    </row>
    <row r="33" spans="1:6" x14ac:dyDescent="0.25">
      <c r="A33" s="8" t="s">
        <v>255</v>
      </c>
      <c r="B33">
        <v>107</v>
      </c>
      <c r="C33">
        <v>6.5369219999999997</v>
      </c>
      <c r="D33" s="138">
        <v>1.4</v>
      </c>
      <c r="E33">
        <v>4.5800229999999997</v>
      </c>
      <c r="F33">
        <v>0</v>
      </c>
    </row>
    <row r="34" spans="1:6" x14ac:dyDescent="0.25">
      <c r="A34" s="8" t="s">
        <v>255</v>
      </c>
      <c r="B34">
        <v>108</v>
      </c>
      <c r="C34">
        <v>6.5186999999999999</v>
      </c>
      <c r="D34" s="138">
        <v>1.4</v>
      </c>
      <c r="E34">
        <v>4.5528069999999996</v>
      </c>
      <c r="F34">
        <v>0</v>
      </c>
    </row>
    <row r="35" spans="1:6" x14ac:dyDescent="0.25">
      <c r="A35" s="8" t="s">
        <v>255</v>
      </c>
      <c r="B35">
        <v>109</v>
      </c>
      <c r="C35">
        <v>6.5159520000000004</v>
      </c>
      <c r="D35" s="138">
        <v>1.4</v>
      </c>
      <c r="E35">
        <v>4.5257250000000004</v>
      </c>
      <c r="F35">
        <v>0</v>
      </c>
    </row>
    <row r="36" spans="1:6" x14ac:dyDescent="0.25">
      <c r="A36" s="8" t="s">
        <v>255</v>
      </c>
      <c r="B36">
        <v>114</v>
      </c>
      <c r="C36">
        <v>6.4590769999999997</v>
      </c>
      <c r="D36" s="138">
        <v>1.4</v>
      </c>
      <c r="E36">
        <v>4.4070679999999998</v>
      </c>
      <c r="F36">
        <v>0</v>
      </c>
    </row>
    <row r="37" spans="1:6" x14ac:dyDescent="0.25">
      <c r="A37" s="8" t="s">
        <v>255</v>
      </c>
      <c r="B37">
        <v>115</v>
      </c>
      <c r="C37">
        <v>6.4409640000000001</v>
      </c>
      <c r="D37" s="138">
        <v>1.4</v>
      </c>
      <c r="E37">
        <v>4.4059369999999998</v>
      </c>
      <c r="F37">
        <v>0</v>
      </c>
    </row>
    <row r="38" spans="1:6" x14ac:dyDescent="0.25">
      <c r="A38" s="8" t="s">
        <v>255</v>
      </c>
      <c r="B38">
        <v>117</v>
      </c>
      <c r="C38">
        <v>6.3997289999999998</v>
      </c>
      <c r="D38" s="138">
        <v>1.4</v>
      </c>
      <c r="E38">
        <v>4.39968</v>
      </c>
      <c r="F38">
        <v>0</v>
      </c>
    </row>
    <row r="39" spans="1:6" x14ac:dyDescent="0.25">
      <c r="A39" s="8" t="s">
        <v>255</v>
      </c>
      <c r="B39">
        <v>118</v>
      </c>
      <c r="C39">
        <v>6.3769549999999997</v>
      </c>
      <c r="D39" s="138">
        <v>1.4</v>
      </c>
      <c r="E39">
        <v>4.3947609999999999</v>
      </c>
      <c r="F39">
        <v>0</v>
      </c>
    </row>
    <row r="40" spans="1:6" x14ac:dyDescent="0.25">
      <c r="A40" s="8" t="s">
        <v>255</v>
      </c>
      <c r="B40">
        <v>119</v>
      </c>
      <c r="C40">
        <v>6.3529479999999996</v>
      </c>
      <c r="D40" s="138">
        <v>1.4</v>
      </c>
      <c r="E40">
        <v>4.3887720000000003</v>
      </c>
      <c r="F40">
        <v>0</v>
      </c>
    </row>
    <row r="41" spans="1:6" x14ac:dyDescent="0.25">
      <c r="A41" s="8" t="s">
        <v>255</v>
      </c>
      <c r="B41">
        <v>122</v>
      </c>
      <c r="C41">
        <v>6.2748309999999998</v>
      </c>
      <c r="D41" s="138">
        <v>1.4</v>
      </c>
      <c r="E41">
        <v>4.3652129999999998</v>
      </c>
      <c r="F41">
        <v>0</v>
      </c>
    </row>
    <row r="42" spans="1:6" x14ac:dyDescent="0.25">
      <c r="A42" s="8" t="s">
        <v>255</v>
      </c>
      <c r="B42">
        <v>123</v>
      </c>
      <c r="C42">
        <v>6.2471389999999998</v>
      </c>
      <c r="D42" s="138">
        <v>1.4</v>
      </c>
      <c r="E42">
        <v>4.3557399999999999</v>
      </c>
      <c r="F42">
        <v>0</v>
      </c>
    </row>
    <row r="43" spans="1:6" x14ac:dyDescent="0.25">
      <c r="A43" s="8" t="s">
        <v>255</v>
      </c>
      <c r="B43">
        <v>130</v>
      </c>
      <c r="C43">
        <v>6.0390069999999998</v>
      </c>
      <c r="D43" s="138">
        <v>1.4</v>
      </c>
      <c r="E43">
        <v>4.2727769999999996</v>
      </c>
      <c r="F43">
        <v>0</v>
      </c>
    </row>
    <row r="44" spans="1:6" x14ac:dyDescent="0.25">
      <c r="A44" s="8" t="s">
        <v>255</v>
      </c>
      <c r="B44">
        <v>132</v>
      </c>
      <c r="C44">
        <v>5.9768689999999998</v>
      </c>
      <c r="D44" s="138">
        <v>1.4</v>
      </c>
      <c r="E44">
        <v>4.2451129999999999</v>
      </c>
      <c r="F44">
        <v>0</v>
      </c>
    </row>
    <row r="45" spans="1:6" x14ac:dyDescent="0.25">
      <c r="A45" s="8" t="s">
        <v>255</v>
      </c>
      <c r="B45">
        <v>136</v>
      </c>
      <c r="C45">
        <v>5.8514379999999999</v>
      </c>
      <c r="D45" s="138">
        <v>1.4</v>
      </c>
      <c r="E45">
        <v>4.1863720000000004</v>
      </c>
      <c r="F45">
        <v>0</v>
      </c>
    </row>
    <row r="46" spans="1:6" x14ac:dyDescent="0.25">
      <c r="A46" s="8" t="s">
        <v>255</v>
      </c>
      <c r="B46">
        <v>146</v>
      </c>
      <c r="C46">
        <v>5.7218999999999998</v>
      </c>
      <c r="D46" s="138">
        <v>1.4</v>
      </c>
      <c r="E46">
        <v>4.0285250000000001</v>
      </c>
      <c r="F46">
        <v>0</v>
      </c>
    </row>
    <row r="47" spans="1:6" x14ac:dyDescent="0.25">
      <c r="A47" s="8" t="s">
        <v>255</v>
      </c>
      <c r="B47">
        <v>147</v>
      </c>
      <c r="C47">
        <v>5.7102329999999997</v>
      </c>
      <c r="D47" s="138">
        <v>1.4</v>
      </c>
      <c r="E47">
        <v>4.0123610000000003</v>
      </c>
      <c r="F47">
        <v>0</v>
      </c>
    </row>
    <row r="48" spans="1:6" x14ac:dyDescent="0.25">
      <c r="A48" s="8" t="s">
        <v>255</v>
      </c>
      <c r="B48">
        <v>148</v>
      </c>
      <c r="C48">
        <v>5.6974780000000003</v>
      </c>
      <c r="D48" s="138">
        <v>1.4</v>
      </c>
      <c r="E48">
        <v>3.9961790000000001</v>
      </c>
      <c r="F48">
        <v>0</v>
      </c>
    </row>
    <row r="49" spans="1:6" x14ac:dyDescent="0.25">
      <c r="A49" s="8" t="s">
        <v>255</v>
      </c>
      <c r="B49">
        <v>149</v>
      </c>
      <c r="C49">
        <v>5.6837260000000001</v>
      </c>
      <c r="D49" s="138">
        <v>1.4</v>
      </c>
      <c r="E49">
        <v>3.9799910000000001</v>
      </c>
      <c r="F49">
        <v>0</v>
      </c>
    </row>
    <row r="50" spans="1:6" x14ac:dyDescent="0.25">
      <c r="A50" s="8" t="s">
        <v>255</v>
      </c>
      <c r="B50">
        <v>150</v>
      </c>
      <c r="C50">
        <v>5.6690649999999998</v>
      </c>
      <c r="D50" s="138">
        <v>1.4</v>
      </c>
      <c r="E50">
        <v>3.9638059999999999</v>
      </c>
      <c r="F50">
        <v>0</v>
      </c>
    </row>
    <row r="51" spans="1:6" x14ac:dyDescent="0.25">
      <c r="A51" s="8" t="s">
        <v>255</v>
      </c>
      <c r="B51">
        <v>157</v>
      </c>
      <c r="C51">
        <v>5.546945</v>
      </c>
      <c r="D51" s="138">
        <v>1.4</v>
      </c>
      <c r="E51">
        <v>3.9012720000000001</v>
      </c>
      <c r="F51">
        <v>0</v>
      </c>
    </row>
    <row r="52" spans="1:6" x14ac:dyDescent="0.25">
      <c r="A52" s="8" t="s">
        <v>255</v>
      </c>
      <c r="B52">
        <v>159</v>
      </c>
      <c r="C52">
        <v>5.5075240000000001</v>
      </c>
      <c r="D52" s="138">
        <v>1.4</v>
      </c>
      <c r="E52">
        <v>3.8955639999999998</v>
      </c>
      <c r="F52">
        <v>0</v>
      </c>
    </row>
    <row r="53" spans="1:6" x14ac:dyDescent="0.25">
      <c r="A53" s="8" t="s">
        <v>255</v>
      </c>
      <c r="B53">
        <v>164</v>
      </c>
      <c r="C53">
        <v>5.4037189999999997</v>
      </c>
      <c r="D53" s="138">
        <v>1.4</v>
      </c>
      <c r="E53">
        <v>3.871747</v>
      </c>
      <c r="F53">
        <v>0</v>
      </c>
    </row>
    <row r="54" spans="1:6" x14ac:dyDescent="0.25">
      <c r="A54" s="8" t="s">
        <v>255</v>
      </c>
      <c r="B54">
        <v>165</v>
      </c>
      <c r="C54">
        <v>5.3823179999999997</v>
      </c>
      <c r="D54" s="138">
        <v>1.4</v>
      </c>
      <c r="E54">
        <v>3.8656109999999999</v>
      </c>
      <c r="F54">
        <v>0</v>
      </c>
    </row>
    <row r="55" spans="1:6" x14ac:dyDescent="0.25">
      <c r="A55" s="8" t="s">
        <v>255</v>
      </c>
      <c r="B55">
        <v>170</v>
      </c>
      <c r="C55">
        <v>5.2734940000000003</v>
      </c>
      <c r="D55" s="138">
        <v>1.4</v>
      </c>
      <c r="E55">
        <v>3.8295689999999998</v>
      </c>
      <c r="F55">
        <v>0</v>
      </c>
    </row>
    <row r="56" spans="1:6" x14ac:dyDescent="0.25">
      <c r="A56" s="8" t="s">
        <v>255</v>
      </c>
      <c r="B56">
        <v>173</v>
      </c>
      <c r="C56">
        <v>5.2213989999999999</v>
      </c>
      <c r="D56" s="138">
        <v>1.4</v>
      </c>
      <c r="E56">
        <v>3.8044530000000001</v>
      </c>
      <c r="F56">
        <v>0</v>
      </c>
    </row>
    <row r="57" spans="1:6" x14ac:dyDescent="0.25">
      <c r="A57" s="8" t="s">
        <v>255</v>
      </c>
      <c r="B57">
        <v>176</v>
      </c>
      <c r="C57">
        <v>5.2147870000000003</v>
      </c>
      <c r="D57" s="138">
        <v>1.4</v>
      </c>
      <c r="E57">
        <v>3.7773370000000002</v>
      </c>
      <c r="F57">
        <v>0</v>
      </c>
    </row>
    <row r="58" spans="1:6" x14ac:dyDescent="0.25">
      <c r="A58" s="8" t="s">
        <v>255</v>
      </c>
      <c r="B58">
        <v>177</v>
      </c>
      <c r="C58">
        <v>5.2103390000000003</v>
      </c>
      <c r="D58" s="138">
        <v>1.4</v>
      </c>
      <c r="E58">
        <v>3.7679260000000001</v>
      </c>
      <c r="F58">
        <v>0</v>
      </c>
    </row>
    <row r="59" spans="1:6" x14ac:dyDescent="0.25">
      <c r="A59" s="8" t="s">
        <v>255</v>
      </c>
      <c r="B59">
        <v>191</v>
      </c>
      <c r="C59">
        <v>5.0702410000000002</v>
      </c>
      <c r="D59" s="138">
        <v>1.4</v>
      </c>
      <c r="E59">
        <v>3.6240760000000001</v>
      </c>
      <c r="F59">
        <v>0</v>
      </c>
    </row>
    <row r="60" spans="1:6" x14ac:dyDescent="0.25">
      <c r="A60" s="8" t="s">
        <v>255</v>
      </c>
      <c r="B60">
        <v>192</v>
      </c>
      <c r="C60">
        <v>5.0565290000000003</v>
      </c>
      <c r="D60" s="138">
        <v>1.4</v>
      </c>
      <c r="E60">
        <v>3.6132970000000002</v>
      </c>
      <c r="F60">
        <v>0</v>
      </c>
    </row>
    <row r="61" spans="1:6" x14ac:dyDescent="0.25">
      <c r="A61" s="8" t="s">
        <v>255</v>
      </c>
      <c r="B61">
        <v>200</v>
      </c>
      <c r="C61">
        <v>4.9376939999999996</v>
      </c>
      <c r="D61" s="138">
        <v>1.4</v>
      </c>
      <c r="E61">
        <v>3.5649679999999999</v>
      </c>
      <c r="F61">
        <v>0</v>
      </c>
    </row>
    <row r="62" spans="1:6" x14ac:dyDescent="0.25">
      <c r="A62" s="8" t="s">
        <v>255</v>
      </c>
      <c r="B62">
        <v>213</v>
      </c>
      <c r="C62">
        <v>4.803769</v>
      </c>
      <c r="D62" s="138">
        <v>1.4</v>
      </c>
      <c r="E62">
        <v>3.5174889999999999</v>
      </c>
      <c r="F62">
        <v>0</v>
      </c>
    </row>
    <row r="63" spans="1:6" x14ac:dyDescent="0.25">
      <c r="A63" s="8" t="s">
        <v>255</v>
      </c>
      <c r="B63">
        <v>226</v>
      </c>
      <c r="C63">
        <v>4.7101860000000002</v>
      </c>
      <c r="D63" s="138">
        <v>1.4</v>
      </c>
      <c r="E63">
        <v>3.4352879999999999</v>
      </c>
      <c r="F63">
        <v>0</v>
      </c>
    </row>
    <row r="64" spans="1:6" x14ac:dyDescent="0.25">
      <c r="A64" s="8" t="s">
        <v>255</v>
      </c>
      <c r="B64">
        <v>227</v>
      </c>
      <c r="C64">
        <v>4.7003110000000001</v>
      </c>
      <c r="D64" s="138">
        <v>1.4</v>
      </c>
      <c r="E64">
        <v>3.42815</v>
      </c>
      <c r="F64">
        <v>0</v>
      </c>
    </row>
    <row r="65" spans="1:6" x14ac:dyDescent="0.25">
      <c r="A65" s="8" t="s">
        <v>255</v>
      </c>
      <c r="B65">
        <v>271</v>
      </c>
      <c r="C65">
        <v>4.35365</v>
      </c>
      <c r="D65" s="138">
        <v>1.4</v>
      </c>
      <c r="E65">
        <v>3.228669</v>
      </c>
      <c r="F65">
        <v>2.7434099999999999E-2</v>
      </c>
    </row>
    <row r="66" spans="1:6" x14ac:dyDescent="0.25">
      <c r="A66" s="8" t="s">
        <v>255</v>
      </c>
      <c r="B66">
        <v>276</v>
      </c>
      <c r="C66">
        <v>4.3080429999999996</v>
      </c>
      <c r="D66" s="138">
        <v>1.4</v>
      </c>
      <c r="E66">
        <v>3.201813</v>
      </c>
      <c r="F66">
        <v>3.5206800000000003E-2</v>
      </c>
    </row>
    <row r="67" spans="1:6" x14ac:dyDescent="0.25">
      <c r="A67" s="8" t="s">
        <v>255</v>
      </c>
      <c r="B67">
        <v>300</v>
      </c>
      <c r="C67">
        <v>4.1888399999999999</v>
      </c>
      <c r="D67" s="138">
        <v>1.4</v>
      </c>
      <c r="E67">
        <v>3.1245880000000001</v>
      </c>
      <c r="F67">
        <v>7.3961899999999997E-2</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8"/>
  <sheetViews>
    <sheetView workbookViewId="0">
      <selection activeCell="B28" sqref="B28"/>
    </sheetView>
  </sheetViews>
  <sheetFormatPr defaultRowHeight="15" x14ac:dyDescent="0.25"/>
  <cols>
    <col min="1" max="1" width="10.42578125" bestFit="1" customWidth="1"/>
    <col min="2" max="2" width="16.85546875" bestFit="1" customWidth="1"/>
    <col min="3" max="3" width="13.7109375" style="24" bestFit="1" customWidth="1"/>
  </cols>
  <sheetData>
    <row r="1" spans="1:3" x14ac:dyDescent="0.25">
      <c r="A1" t="s">
        <v>243</v>
      </c>
      <c r="B1" t="s">
        <v>257</v>
      </c>
      <c r="C1" s="24" t="s">
        <v>256</v>
      </c>
    </row>
    <row r="2" spans="1:3" x14ac:dyDescent="0.25">
      <c r="A2" t="s">
        <v>0</v>
      </c>
      <c r="B2">
        <v>123</v>
      </c>
      <c r="C2" s="24">
        <v>4.4043130000000001</v>
      </c>
    </row>
    <row r="3" spans="1:3" x14ac:dyDescent="0.25">
      <c r="A3" t="s">
        <v>2</v>
      </c>
      <c r="B3">
        <v>122</v>
      </c>
      <c r="C3" s="24">
        <v>2.789126</v>
      </c>
    </row>
    <row r="4" spans="1:3" x14ac:dyDescent="0.25">
      <c r="A4" t="s">
        <v>3</v>
      </c>
      <c r="B4">
        <v>64</v>
      </c>
      <c r="C4" s="24">
        <v>1.8815760000000001</v>
      </c>
    </row>
    <row r="5" spans="1:3" x14ac:dyDescent="0.25">
      <c r="A5" t="s">
        <v>8</v>
      </c>
      <c r="B5">
        <v>200</v>
      </c>
      <c r="C5" s="24">
        <v>0.5105731</v>
      </c>
    </row>
    <row r="6" spans="1:3" x14ac:dyDescent="0.25">
      <c r="A6" t="s">
        <v>333</v>
      </c>
      <c r="B6">
        <v>146</v>
      </c>
      <c r="C6" s="24">
        <v>0.66930219999999996</v>
      </c>
    </row>
    <row r="7" spans="1:3" x14ac:dyDescent="0.25">
      <c r="A7" t="s">
        <v>336</v>
      </c>
      <c r="B7">
        <v>165</v>
      </c>
      <c r="C7" s="24">
        <v>0.52965689999999999</v>
      </c>
    </row>
    <row r="8" spans="1:3" x14ac:dyDescent="0.25">
      <c r="A8" t="s">
        <v>10</v>
      </c>
      <c r="B8">
        <v>34</v>
      </c>
      <c r="C8" s="24">
        <v>0</v>
      </c>
    </row>
    <row r="9" spans="1:3" x14ac:dyDescent="0.25">
      <c r="A9" t="s">
        <v>13</v>
      </c>
      <c r="B9">
        <v>16</v>
      </c>
      <c r="C9" s="24">
        <v>0</v>
      </c>
    </row>
    <row r="10" spans="1:3" x14ac:dyDescent="0.25">
      <c r="A10" t="s">
        <v>15</v>
      </c>
      <c r="B10">
        <v>92</v>
      </c>
      <c r="C10" s="24">
        <v>1.250086</v>
      </c>
    </row>
    <row r="11" spans="1:3" x14ac:dyDescent="0.25">
      <c r="A11" t="s">
        <v>17</v>
      </c>
      <c r="B11">
        <v>157</v>
      </c>
      <c r="C11" s="24">
        <v>2.608714</v>
      </c>
    </row>
    <row r="12" spans="1:3" x14ac:dyDescent="0.25">
      <c r="A12" t="s">
        <v>18</v>
      </c>
      <c r="B12">
        <v>103</v>
      </c>
      <c r="C12" s="24">
        <v>2.1631269999999998</v>
      </c>
    </row>
    <row r="13" spans="1:3" x14ac:dyDescent="0.25">
      <c r="A13" t="s">
        <v>340</v>
      </c>
      <c r="B13">
        <v>23</v>
      </c>
      <c r="C13" s="24">
        <v>0</v>
      </c>
    </row>
    <row r="14" spans="1:3" x14ac:dyDescent="0.25">
      <c r="A14" t="s">
        <v>417</v>
      </c>
      <c r="B14">
        <v>132</v>
      </c>
      <c r="C14" s="24">
        <v>1.9981180000000001</v>
      </c>
    </row>
    <row r="15" spans="1:3" x14ac:dyDescent="0.25">
      <c r="A15" t="s">
        <v>22</v>
      </c>
      <c r="B15">
        <v>119</v>
      </c>
      <c r="C15" s="24">
        <v>2.0083389999999999</v>
      </c>
    </row>
    <row r="16" spans="1:3" x14ac:dyDescent="0.25">
      <c r="A16" t="s">
        <v>24</v>
      </c>
      <c r="B16">
        <v>164</v>
      </c>
      <c r="C16" s="24">
        <v>1.2063790000000001</v>
      </c>
    </row>
    <row r="17" spans="1:3" x14ac:dyDescent="0.25">
      <c r="A17" t="s">
        <v>25</v>
      </c>
      <c r="B17">
        <v>114</v>
      </c>
      <c r="C17" s="24">
        <v>2.0195029999999998</v>
      </c>
    </row>
    <row r="18" spans="1:3" x14ac:dyDescent="0.25">
      <c r="A18" t="s">
        <v>27</v>
      </c>
      <c r="B18">
        <v>44</v>
      </c>
      <c r="C18" s="24">
        <v>0</v>
      </c>
    </row>
    <row r="19" spans="1:3" x14ac:dyDescent="0.25">
      <c r="A19" t="s">
        <v>29</v>
      </c>
      <c r="B19">
        <v>176</v>
      </c>
      <c r="C19" s="24">
        <v>1.52881</v>
      </c>
    </row>
    <row r="20" spans="1:3" x14ac:dyDescent="0.25">
      <c r="A20" t="s">
        <v>30</v>
      </c>
      <c r="B20">
        <v>51</v>
      </c>
      <c r="C20" s="24">
        <v>1.537507</v>
      </c>
    </row>
    <row r="21" spans="1:3" x14ac:dyDescent="0.25">
      <c r="A21" t="s">
        <v>35</v>
      </c>
      <c r="B21">
        <v>200</v>
      </c>
      <c r="C21" s="24">
        <v>0.51652439999999999</v>
      </c>
    </row>
    <row r="22" spans="1:3" x14ac:dyDescent="0.25">
      <c r="A22" t="s">
        <v>348</v>
      </c>
      <c r="B22">
        <v>148</v>
      </c>
      <c r="C22" s="24">
        <v>0.73989070000000001</v>
      </c>
    </row>
    <row r="23" spans="1:3" x14ac:dyDescent="0.25">
      <c r="A23" t="s">
        <v>37</v>
      </c>
      <c r="B23">
        <v>83</v>
      </c>
      <c r="C23" s="24">
        <v>4.2748799999999996</v>
      </c>
    </row>
    <row r="24" spans="1:3" x14ac:dyDescent="0.25">
      <c r="A24" t="s">
        <v>39</v>
      </c>
      <c r="B24">
        <v>226</v>
      </c>
      <c r="C24" s="24">
        <v>0.48054889999999995</v>
      </c>
    </row>
    <row r="25" spans="1:3" x14ac:dyDescent="0.25">
      <c r="A25" t="s">
        <v>41</v>
      </c>
      <c r="B25">
        <v>117</v>
      </c>
      <c r="C25" s="24">
        <v>0.73965040000000004</v>
      </c>
    </row>
    <row r="26" spans="1:3" x14ac:dyDescent="0.25">
      <c r="A26" t="s">
        <v>45</v>
      </c>
      <c r="B26">
        <v>191</v>
      </c>
      <c r="C26" s="24">
        <v>0</v>
      </c>
    </row>
    <row r="27" spans="1:3" x14ac:dyDescent="0.25">
      <c r="A27" t="s">
        <v>47</v>
      </c>
      <c r="B27">
        <v>147</v>
      </c>
      <c r="C27" s="24">
        <v>0</v>
      </c>
    </row>
    <row r="28" spans="1:3" x14ac:dyDescent="0.25">
      <c r="A28" t="s">
        <v>49</v>
      </c>
      <c r="B28">
        <v>276</v>
      </c>
      <c r="C28" s="24">
        <v>3.3333719999999998</v>
      </c>
    </row>
    <row r="29" spans="1:3" x14ac:dyDescent="0.25">
      <c r="A29" t="s">
        <v>51</v>
      </c>
      <c r="B29">
        <v>170</v>
      </c>
      <c r="C29" s="24">
        <v>1.281839</v>
      </c>
    </row>
    <row r="30" spans="1:3" x14ac:dyDescent="0.25">
      <c r="A30" t="s">
        <v>53</v>
      </c>
      <c r="B30">
        <v>7</v>
      </c>
      <c r="C30" s="24">
        <v>0</v>
      </c>
    </row>
    <row r="31" spans="1:3" x14ac:dyDescent="0.25">
      <c r="A31" t="s">
        <v>55</v>
      </c>
      <c r="B31">
        <v>74</v>
      </c>
      <c r="C31" s="24">
        <v>0</v>
      </c>
    </row>
    <row r="32" spans="1:3" x14ac:dyDescent="0.25">
      <c r="A32" t="s">
        <v>56</v>
      </c>
      <c r="B32">
        <v>159</v>
      </c>
      <c r="C32" s="24">
        <v>1.8278779999999999</v>
      </c>
    </row>
    <row r="33" spans="1:3" x14ac:dyDescent="0.25">
      <c r="A33" t="s">
        <v>60</v>
      </c>
      <c r="B33">
        <v>200</v>
      </c>
      <c r="C33" s="24">
        <v>1.467354</v>
      </c>
    </row>
    <row r="34" spans="1:3" x14ac:dyDescent="0.25">
      <c r="A34" t="s">
        <v>429</v>
      </c>
      <c r="B34">
        <v>136</v>
      </c>
      <c r="C34" s="24">
        <v>0.61617149999999998</v>
      </c>
    </row>
    <row r="35" spans="1:3" x14ac:dyDescent="0.25">
      <c r="A35" t="s">
        <v>64</v>
      </c>
      <c r="B35">
        <v>107</v>
      </c>
      <c r="C35" s="24">
        <v>0.79707899999999998</v>
      </c>
    </row>
    <row r="36" spans="1:3" x14ac:dyDescent="0.25">
      <c r="A36" t="s">
        <v>433</v>
      </c>
      <c r="B36">
        <v>59</v>
      </c>
      <c r="C36" s="24">
        <v>3.9599410000000002</v>
      </c>
    </row>
    <row r="37" spans="1:3" x14ac:dyDescent="0.25">
      <c r="A37" t="s">
        <v>66</v>
      </c>
      <c r="B37">
        <v>108</v>
      </c>
      <c r="C37" s="24">
        <v>2.095577</v>
      </c>
    </row>
    <row r="38" spans="1:3" x14ac:dyDescent="0.25">
      <c r="A38" t="s">
        <v>68</v>
      </c>
      <c r="B38">
        <v>53</v>
      </c>
      <c r="C38" s="24">
        <v>0</v>
      </c>
    </row>
    <row r="39" spans="1:3" x14ac:dyDescent="0.25">
      <c r="A39" t="s">
        <v>71</v>
      </c>
      <c r="B39">
        <v>28</v>
      </c>
      <c r="C39" s="24">
        <v>0</v>
      </c>
    </row>
    <row r="40" spans="1:3" x14ac:dyDescent="0.25">
      <c r="A40" t="s">
        <v>75</v>
      </c>
      <c r="B40">
        <v>115</v>
      </c>
      <c r="C40" s="24">
        <v>0</v>
      </c>
    </row>
    <row r="41" spans="1:3" x14ac:dyDescent="0.25">
      <c r="A41" t="s">
        <v>77</v>
      </c>
      <c r="B41">
        <v>118</v>
      </c>
      <c r="C41" s="24">
        <v>1.7031019999999997</v>
      </c>
    </row>
    <row r="42" spans="1:3" x14ac:dyDescent="0.25">
      <c r="A42" t="s">
        <v>81</v>
      </c>
      <c r="B42">
        <v>9</v>
      </c>
      <c r="C42" s="24">
        <v>0</v>
      </c>
    </row>
    <row r="43" spans="1:3" x14ac:dyDescent="0.25">
      <c r="A43" t="s">
        <v>83</v>
      </c>
      <c r="B43">
        <v>177</v>
      </c>
      <c r="C43" s="24">
        <v>3.7041119999999998</v>
      </c>
    </row>
    <row r="44" spans="1:3" x14ac:dyDescent="0.25">
      <c r="A44" t="s">
        <v>85</v>
      </c>
      <c r="B44">
        <v>177</v>
      </c>
      <c r="C44" s="24">
        <v>1.6009260000000001</v>
      </c>
    </row>
    <row r="45" spans="1:3" x14ac:dyDescent="0.25">
      <c r="A45" t="s">
        <v>87</v>
      </c>
      <c r="B45">
        <v>130</v>
      </c>
      <c r="C45" s="24">
        <v>0.59494080000000005</v>
      </c>
    </row>
    <row r="46" spans="1:3" x14ac:dyDescent="0.25">
      <c r="A46" t="s">
        <v>88</v>
      </c>
      <c r="B46">
        <v>192</v>
      </c>
      <c r="C46" s="24">
        <v>0.63684799999999997</v>
      </c>
    </row>
    <row r="47" spans="1:3" x14ac:dyDescent="0.25">
      <c r="A47" t="s">
        <v>90</v>
      </c>
      <c r="B47">
        <v>109</v>
      </c>
      <c r="C47" s="24">
        <v>0.9191378</v>
      </c>
    </row>
    <row r="48" spans="1:3" x14ac:dyDescent="0.25">
      <c r="A48" t="s">
        <v>92</v>
      </c>
      <c r="B48">
        <v>118</v>
      </c>
      <c r="C48" s="24">
        <v>0.84193649999999998</v>
      </c>
    </row>
    <row r="49" spans="1:3" x14ac:dyDescent="0.25">
      <c r="A49" t="s">
        <v>94</v>
      </c>
      <c r="B49">
        <v>149</v>
      </c>
      <c r="C49" s="24">
        <v>0</v>
      </c>
    </row>
    <row r="50" spans="1:3" x14ac:dyDescent="0.25">
      <c r="A50" t="s">
        <v>96</v>
      </c>
      <c r="B50">
        <v>96</v>
      </c>
      <c r="C50" s="24">
        <v>0.93082620000000016</v>
      </c>
    </row>
    <row r="51" spans="1:3" x14ac:dyDescent="0.25">
      <c r="A51" t="s">
        <v>97</v>
      </c>
      <c r="B51">
        <v>94</v>
      </c>
      <c r="C51" s="24">
        <v>2.4074520000000001</v>
      </c>
    </row>
    <row r="52" spans="1:3" x14ac:dyDescent="0.25">
      <c r="A52" t="s">
        <v>99</v>
      </c>
      <c r="B52">
        <v>150</v>
      </c>
      <c r="C52" s="24">
        <v>1.9598459999999998</v>
      </c>
    </row>
    <row r="53" spans="1:3" x14ac:dyDescent="0.25">
      <c r="A53" t="s">
        <v>101</v>
      </c>
      <c r="B53">
        <v>65</v>
      </c>
      <c r="C53" s="24">
        <v>3.4595940000000001</v>
      </c>
    </row>
    <row r="54" spans="1:3" x14ac:dyDescent="0.25">
      <c r="A54" t="s">
        <v>103</v>
      </c>
      <c r="B54">
        <v>53</v>
      </c>
      <c r="C54" s="24">
        <v>1.6656660000000001</v>
      </c>
    </row>
    <row r="55" spans="1:3" x14ac:dyDescent="0.25">
      <c r="A55" t="s">
        <v>105</v>
      </c>
      <c r="B55">
        <v>173</v>
      </c>
      <c r="C55" s="24">
        <v>0.87016420000000005</v>
      </c>
    </row>
    <row r="56" spans="1:3" x14ac:dyDescent="0.25">
      <c r="A56" t="s">
        <v>109</v>
      </c>
      <c r="B56">
        <v>95</v>
      </c>
      <c r="C56" s="24">
        <v>4.5063599999999999</v>
      </c>
    </row>
    <row r="57" spans="1:3" x14ac:dyDescent="0.25">
      <c r="A57" t="s">
        <v>113</v>
      </c>
      <c r="B57">
        <v>227</v>
      </c>
      <c r="C57" s="24">
        <v>1.6177319999999999</v>
      </c>
    </row>
    <row r="58" spans="1:3" x14ac:dyDescent="0.25">
      <c r="A58" t="s">
        <v>115</v>
      </c>
      <c r="B58">
        <v>69</v>
      </c>
      <c r="C58" s="24">
        <v>5.2334149999999999</v>
      </c>
    </row>
    <row r="59" spans="1:3" x14ac:dyDescent="0.25">
      <c r="A59" t="s">
        <v>117</v>
      </c>
      <c r="B59">
        <v>86</v>
      </c>
      <c r="C59" s="24">
        <v>0</v>
      </c>
    </row>
    <row r="60" spans="1:3" x14ac:dyDescent="0.25">
      <c r="A60" t="s">
        <v>119</v>
      </c>
      <c r="B60">
        <v>118</v>
      </c>
      <c r="C60" s="24">
        <v>0</v>
      </c>
    </row>
    <row r="61" spans="1:3" x14ac:dyDescent="0.25">
      <c r="A61" t="s">
        <v>360</v>
      </c>
      <c r="B61">
        <v>213</v>
      </c>
      <c r="C61" s="24">
        <v>0</v>
      </c>
    </row>
    <row r="62" spans="1:3" x14ac:dyDescent="0.25">
      <c r="A62" t="s">
        <v>123</v>
      </c>
      <c r="B62">
        <v>84</v>
      </c>
      <c r="C62" s="24">
        <v>1.2710630000000001</v>
      </c>
    </row>
    <row r="63" spans="1:3" x14ac:dyDescent="0.25">
      <c r="A63" t="s">
        <v>125</v>
      </c>
      <c r="B63">
        <v>54</v>
      </c>
      <c r="C63" s="24">
        <v>1.8500389999999998</v>
      </c>
    </row>
    <row r="64" spans="1:3" x14ac:dyDescent="0.25">
      <c r="A64" t="s">
        <v>127</v>
      </c>
      <c r="B64">
        <v>107</v>
      </c>
      <c r="C64" s="24">
        <v>3.5006219999999999</v>
      </c>
    </row>
    <row r="65" spans="1:3" x14ac:dyDescent="0.25">
      <c r="A65" t="s">
        <v>129</v>
      </c>
      <c r="B65">
        <v>62</v>
      </c>
      <c r="C65" s="24">
        <v>1.5863510000000001</v>
      </c>
    </row>
    <row r="66" spans="1:3" x14ac:dyDescent="0.25">
      <c r="A66" t="s">
        <v>131</v>
      </c>
      <c r="B66">
        <v>97</v>
      </c>
      <c r="C66" s="24">
        <v>1.127238</v>
      </c>
    </row>
    <row r="67" spans="1:3" x14ac:dyDescent="0.25">
      <c r="A67" t="s">
        <v>133</v>
      </c>
      <c r="B67">
        <v>47</v>
      </c>
      <c r="C67" s="24">
        <v>2.693873</v>
      </c>
    </row>
    <row r="68" spans="1:3" x14ac:dyDescent="0.25">
      <c r="A68" t="s">
        <v>137</v>
      </c>
      <c r="B68">
        <v>271</v>
      </c>
      <c r="C68" s="24">
        <v>1.919117</v>
      </c>
    </row>
  </sheetData>
  <sortState ref="A2:C71">
    <sortCondition ref="A2"/>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4"/>
  <sheetViews>
    <sheetView topLeftCell="H13" zoomScaleNormal="100" workbookViewId="0">
      <selection activeCell="T8" sqref="T8:T74"/>
    </sheetView>
  </sheetViews>
  <sheetFormatPr defaultRowHeight="15" x14ac:dyDescent="0.25"/>
  <cols>
    <col min="1" max="1" width="6.42578125" bestFit="1" customWidth="1"/>
    <col min="2" max="2" width="61" bestFit="1" customWidth="1"/>
    <col min="3" max="3" width="5.7109375" bestFit="1" customWidth="1"/>
    <col min="4" max="4" width="6.42578125" bestFit="1" customWidth="1"/>
    <col min="5" max="5" width="13.140625" customWidth="1"/>
    <col min="6" max="6" width="15.85546875" customWidth="1"/>
    <col min="7" max="7" width="15.5703125" customWidth="1"/>
    <col min="8" max="11" width="17.42578125" customWidth="1"/>
    <col min="12" max="12" width="19.5703125" customWidth="1"/>
    <col min="13" max="13" width="21.7109375" customWidth="1"/>
    <col min="14" max="15" width="17.7109375" customWidth="1"/>
    <col min="24" max="24" width="13.5703125" bestFit="1" customWidth="1"/>
    <col min="25" max="25" width="17" customWidth="1"/>
    <col min="32" max="32" width="16.85546875" customWidth="1"/>
    <col min="33" max="33" width="18.7109375" customWidth="1"/>
    <col min="34" max="34" width="21.42578125" customWidth="1"/>
    <col min="35" max="35" width="16.42578125" customWidth="1"/>
    <col min="36" max="37" width="14.5703125" customWidth="1"/>
    <col min="39" max="39" width="10.85546875" customWidth="1"/>
  </cols>
  <sheetData>
    <row r="1" spans="1:42" x14ac:dyDescent="0.25">
      <c r="A1">
        <v>0</v>
      </c>
      <c r="B1" t="s">
        <v>258</v>
      </c>
      <c r="E1">
        <f t="shared" ref="E1:H5" si="0">QUARTILE(E$8:E$74,$A1)</f>
        <v>0.5</v>
      </c>
      <c r="F1">
        <f t="shared" si="0"/>
        <v>0.03</v>
      </c>
      <c r="G1">
        <f t="shared" si="0"/>
        <v>0</v>
      </c>
      <c r="H1">
        <f t="shared" si="0"/>
        <v>0</v>
      </c>
    </row>
    <row r="2" spans="1:42" x14ac:dyDescent="0.25">
      <c r="A2">
        <v>1</v>
      </c>
      <c r="B2" t="s">
        <v>259</v>
      </c>
      <c r="E2">
        <f t="shared" si="0"/>
        <v>0.875</v>
      </c>
      <c r="F2">
        <f t="shared" si="0"/>
        <v>0.97</v>
      </c>
      <c r="G2">
        <f t="shared" si="0"/>
        <v>0.88</v>
      </c>
      <c r="H2">
        <f t="shared" si="0"/>
        <v>0.82</v>
      </c>
    </row>
    <row r="3" spans="1:42" x14ac:dyDescent="0.25">
      <c r="A3">
        <v>2</v>
      </c>
      <c r="B3" t="s">
        <v>260</v>
      </c>
      <c r="E3">
        <f t="shared" si="0"/>
        <v>0.95</v>
      </c>
      <c r="F3">
        <f t="shared" si="0"/>
        <v>0.99</v>
      </c>
      <c r="G3">
        <f t="shared" si="0"/>
        <v>0.95</v>
      </c>
      <c r="H3">
        <f t="shared" si="0"/>
        <v>0.91</v>
      </c>
    </row>
    <row r="4" spans="1:42" x14ac:dyDescent="0.25">
      <c r="A4">
        <v>3</v>
      </c>
      <c r="B4" t="s">
        <v>261</v>
      </c>
      <c r="E4">
        <f t="shared" si="0"/>
        <v>0.98</v>
      </c>
      <c r="F4">
        <f t="shared" si="0"/>
        <v>1</v>
      </c>
      <c r="G4">
        <f t="shared" si="0"/>
        <v>1</v>
      </c>
      <c r="H4">
        <f t="shared" si="0"/>
        <v>0.97</v>
      </c>
    </row>
    <row r="5" spans="1:42" x14ac:dyDescent="0.25">
      <c r="A5">
        <v>4</v>
      </c>
      <c r="B5" t="s">
        <v>262</v>
      </c>
      <c r="E5">
        <f t="shared" si="0"/>
        <v>1</v>
      </c>
      <c r="F5">
        <f t="shared" si="0"/>
        <v>1</v>
      </c>
      <c r="G5">
        <f t="shared" si="0"/>
        <v>1</v>
      </c>
      <c r="H5">
        <f t="shared" si="0"/>
        <v>1</v>
      </c>
    </row>
    <row r="7" spans="1:42" ht="75" x14ac:dyDescent="0.25">
      <c r="A7" s="129" t="s">
        <v>140</v>
      </c>
      <c r="B7" s="129" t="s">
        <v>568</v>
      </c>
      <c r="C7" s="129" t="s">
        <v>141</v>
      </c>
      <c r="D7" s="129" t="s">
        <v>149</v>
      </c>
      <c r="E7" s="129" t="s">
        <v>156</v>
      </c>
      <c r="F7" s="129" t="s">
        <v>150</v>
      </c>
      <c r="G7" s="129" t="s">
        <v>151</v>
      </c>
      <c r="H7" s="129" t="s">
        <v>152</v>
      </c>
      <c r="I7" s="4" t="s">
        <v>364</v>
      </c>
      <c r="J7" s="4" t="s">
        <v>365</v>
      </c>
      <c r="K7" s="4" t="s">
        <v>366</v>
      </c>
      <c r="L7" s="129" t="s">
        <v>155</v>
      </c>
      <c r="M7" s="129" t="s">
        <v>154</v>
      </c>
      <c r="N7" s="129" t="s">
        <v>570</v>
      </c>
      <c r="O7" s="4" t="s">
        <v>140</v>
      </c>
      <c r="P7" s="11" t="s">
        <v>263</v>
      </c>
      <c r="Q7" s="25" t="s">
        <v>264</v>
      </c>
      <c r="R7" s="25" t="s">
        <v>265</v>
      </c>
      <c r="S7" s="25" t="s">
        <v>266</v>
      </c>
      <c r="T7" s="25" t="s">
        <v>276</v>
      </c>
      <c r="U7" s="25" t="s">
        <v>283</v>
      </c>
      <c r="V7" s="21" t="s">
        <v>367</v>
      </c>
      <c r="W7" s="21" t="s">
        <v>365</v>
      </c>
      <c r="X7" s="129" t="s">
        <v>721</v>
      </c>
      <c r="Y7" s="129" t="s">
        <v>569</v>
      </c>
      <c r="Z7" s="21" t="s">
        <v>246</v>
      </c>
      <c r="AA7" s="21" t="s">
        <v>253</v>
      </c>
      <c r="AB7" s="21" t="s">
        <v>254</v>
      </c>
      <c r="AC7" s="21" t="s">
        <v>497</v>
      </c>
      <c r="AD7" s="21" t="s">
        <v>498</v>
      </c>
      <c r="AE7" s="21" t="s">
        <v>717</v>
      </c>
      <c r="AF7" s="4" t="s">
        <v>330</v>
      </c>
      <c r="AG7" s="4" t="s">
        <v>499</v>
      </c>
      <c r="AH7" s="4" t="s">
        <v>500</v>
      </c>
      <c r="AI7" s="11" t="s">
        <v>502</v>
      </c>
      <c r="AJ7" s="11" t="s">
        <v>501</v>
      </c>
      <c r="AK7" s="11" t="s">
        <v>718</v>
      </c>
      <c r="AL7" s="11" t="s">
        <v>565</v>
      </c>
      <c r="AM7" s="27" t="s">
        <v>328</v>
      </c>
      <c r="AN7" s="27" t="s">
        <v>287</v>
      </c>
      <c r="AO7" s="27" t="s">
        <v>288</v>
      </c>
      <c r="AP7" s="27" t="s">
        <v>319</v>
      </c>
    </row>
    <row r="8" spans="1:42" x14ac:dyDescent="0.25">
      <c r="A8" t="s">
        <v>30</v>
      </c>
      <c r="B8" s="74" t="s">
        <v>291</v>
      </c>
      <c r="C8" s="5">
        <v>17</v>
      </c>
      <c r="D8" s="5">
        <v>17</v>
      </c>
      <c r="E8" s="130">
        <v>0.94</v>
      </c>
      <c r="F8" s="130">
        <v>1</v>
      </c>
      <c r="G8" s="130">
        <v>0.94</v>
      </c>
      <c r="H8" s="130">
        <v>1</v>
      </c>
      <c r="I8" s="51">
        <f t="shared" ref="I8:I39" si="1">C8-D8</f>
        <v>0</v>
      </c>
      <c r="J8" s="130">
        <v>1</v>
      </c>
      <c r="K8" s="130">
        <v>0</v>
      </c>
      <c r="L8" s="84" t="s">
        <v>189</v>
      </c>
      <c r="M8" s="84" t="s">
        <v>220</v>
      </c>
      <c r="N8" s="6">
        <v>1.4999999999999999E-2</v>
      </c>
      <c r="O8" t="str">
        <f t="shared" ref="O8:O39" si="2">A8</f>
        <v>RF4</v>
      </c>
      <c r="P8" s="22">
        <f t="shared" ref="P8:P39" si="3">+IF(E8&lt;E$2,1,IF(E8&lt;E$3,2,IF(E8&lt;E$4,3,4)))</f>
        <v>2</v>
      </c>
      <c r="Q8" s="22">
        <f t="shared" ref="Q8:Q39" si="4">+IF(F8&lt;F$2,1,IF(F8&lt;F$3,2,IF(F8&lt;F$4,3,4)))</f>
        <v>4</v>
      </c>
      <c r="R8" s="22">
        <f t="shared" ref="R8:R39" si="5">+IF(G8&lt;G$2,1,IF(G8&lt;G$3,2,IF(G8&lt;G$4,3,4)))</f>
        <v>2</v>
      </c>
      <c r="S8" s="22">
        <f t="shared" ref="S8:S39" si="6">+IF(H8&lt;H$2,1,IF(H8&lt;H$3,2,IF(H8&lt;H$4,3,4)))</f>
        <v>4</v>
      </c>
      <c r="T8" s="40">
        <f>IF('AAA Summary'!$L$59=4, RANK(H8,H$8:H$79,1)+COUNTIF($H$8:H8,H8)-1, IF('AAA Summary'!$L$59=3, RANK(G8,G$8:G$79,1)+COUNTIF($G$8:G8,G8)-1, IF('AAA Summary'!$L$59=2, RANK(F8,F$8:F$79,1)+COUNTIF($F$8:F8,F8)-1, IF('AAA Summary'!$L$59=1, RANK(E8,E$8:E$79,1)+COUNTIF($E$8:E8,E8)-1))))</f>
        <v>29</v>
      </c>
      <c r="U8" s="28">
        <f>IF('AAA Summary'!$L$59=4, H8, IF('AAA Summary'!$L$59=3, G8, IF('AAA Summary'!$L$59=2, F8, IF('AAA Summary'!$L$59=1, E8))))</f>
        <v>0.94</v>
      </c>
      <c r="V8">
        <f t="shared" ref="V8:V39" si="7">RANK(J8,$J$8:$J$75)</f>
        <v>1</v>
      </c>
      <c r="W8" s="9">
        <f t="shared" ref="W8:W39" si="8">J8*100</f>
        <v>100</v>
      </c>
      <c r="X8" s="84" t="s">
        <v>593</v>
      </c>
      <c r="Y8" s="131">
        <v>0.13</v>
      </c>
      <c r="Z8" s="9">
        <v>71</v>
      </c>
      <c r="AA8">
        <v>60</v>
      </c>
      <c r="AB8">
        <v>147</v>
      </c>
      <c r="AC8">
        <f t="shared" ref="AC8:AC39" si="9">Z8-AA8</f>
        <v>11</v>
      </c>
      <c r="AD8">
        <f t="shared" ref="AD8:AD39" si="10">AB8-Z8</f>
        <v>76</v>
      </c>
      <c r="AE8">
        <v>56</v>
      </c>
      <c r="AF8">
        <v>13</v>
      </c>
      <c r="AG8">
        <v>1.5513600000000001</v>
      </c>
      <c r="AH8">
        <v>38.347619999999999</v>
      </c>
      <c r="AI8" s="51">
        <f>AF8-AG8</f>
        <v>11.448639999999999</v>
      </c>
      <c r="AJ8" s="51">
        <f>AH8-AF8</f>
        <v>25.347619999999999</v>
      </c>
      <c r="AK8" s="51">
        <v>80</v>
      </c>
      <c r="AL8" s="135">
        <v>22</v>
      </c>
      <c r="AM8">
        <f>IF('AAA Summary'!$M$28=2, AF8, IF('AAA Summary'!$M$28=1,Z8))</f>
        <v>71</v>
      </c>
      <c r="AN8">
        <f>IF('AAA Summary'!$M$28=2, AI8, IF('AAA Summary'!$M$28=1,AC8))</f>
        <v>11</v>
      </c>
      <c r="AO8">
        <f>IF('AAA Summary'!$M$28=2, AJ8, IF('AAA Summary'!$M$28=1,AD8))</f>
        <v>76</v>
      </c>
      <c r="AP8">
        <f>IF('AAA Summary'!$M$28=2, AK8, IF('AAA Summary'!$M$28=1,AE8))</f>
        <v>56</v>
      </c>
    </row>
    <row r="9" spans="1:42" x14ac:dyDescent="0.25">
      <c r="A9" t="s">
        <v>10</v>
      </c>
      <c r="B9" s="74" t="s">
        <v>11</v>
      </c>
      <c r="C9" s="5">
        <v>11</v>
      </c>
      <c r="D9" s="5">
        <v>5</v>
      </c>
      <c r="E9" s="130">
        <v>0.73</v>
      </c>
      <c r="F9" s="130">
        <v>1</v>
      </c>
      <c r="G9" s="130">
        <v>0.7</v>
      </c>
      <c r="H9" s="130">
        <v>0.55000000000000004</v>
      </c>
      <c r="I9" s="51">
        <f t="shared" si="1"/>
        <v>6</v>
      </c>
      <c r="J9" s="130">
        <v>0.45</v>
      </c>
      <c r="K9" s="130">
        <v>0.55000000000000004</v>
      </c>
      <c r="L9" s="84" t="s">
        <v>176</v>
      </c>
      <c r="M9" s="84" t="s">
        <v>577</v>
      </c>
      <c r="N9" s="6">
        <v>0</v>
      </c>
      <c r="O9" t="str">
        <f t="shared" si="2"/>
        <v>R1H</v>
      </c>
      <c r="P9" s="22">
        <f t="shared" si="3"/>
        <v>1</v>
      </c>
      <c r="Q9" s="22">
        <f t="shared" si="4"/>
        <v>4</v>
      </c>
      <c r="R9" s="22">
        <f t="shared" si="5"/>
        <v>1</v>
      </c>
      <c r="S9" s="22">
        <f t="shared" si="6"/>
        <v>1</v>
      </c>
      <c r="T9" s="40">
        <f>IF('AAA Summary'!$L$59=4, RANK(H9,H$8:H$79,1)+COUNTIF($H$8:H9,H9)-1, IF('AAA Summary'!$L$59=3, RANK(G9,G$8:G$79,1)+COUNTIF($G$8:G9,G9)-1, IF('AAA Summary'!$L$59=2, RANK(F9,F$8:F$79,1)+COUNTIF($F$8:F9,F9)-1, IF('AAA Summary'!$L$59=1, RANK(E9,E$8:E$79,1)+COUNTIF($E$8:E9,E9)-1))))</f>
        <v>7</v>
      </c>
      <c r="U9" s="28">
        <f>IF('AAA Summary'!$L$59=4, H9, IF('AAA Summary'!$L$59=3, G9, IF('AAA Summary'!$L$59=2, F9, IF('AAA Summary'!$L$59=1, E9))))</f>
        <v>0.73</v>
      </c>
      <c r="V9">
        <f t="shared" si="7"/>
        <v>47</v>
      </c>
      <c r="W9" s="9">
        <f t="shared" si="8"/>
        <v>45</v>
      </c>
      <c r="X9" s="84" t="s">
        <v>227</v>
      </c>
      <c r="Y9" s="131" t="s">
        <v>227</v>
      </c>
      <c r="Z9" s="135" t="e">
        <v>#N/A</v>
      </c>
      <c r="AA9" s="135" t="e">
        <v>#N/A</v>
      </c>
      <c r="AB9" s="135" t="e">
        <v>#N/A</v>
      </c>
      <c r="AC9" s="135" t="e">
        <v>#N/A</v>
      </c>
      <c r="AD9" s="135" t="e">
        <v>#N/A</v>
      </c>
      <c r="AE9">
        <v>56</v>
      </c>
      <c r="AF9" s="135" t="e">
        <v>#N/A</v>
      </c>
      <c r="AG9" t="e">
        <v>#N/A</v>
      </c>
      <c r="AH9" t="e">
        <v>#N/A</v>
      </c>
      <c r="AI9" s="51" t="e">
        <f t="shared" ref="AI9:AI72" si="11">AF9-AG9</f>
        <v>#N/A</v>
      </c>
      <c r="AJ9" s="51" t="e">
        <f t="shared" ref="AJ9:AJ72" si="12">AH9-AF9</f>
        <v>#N/A</v>
      </c>
      <c r="AK9" s="51">
        <v>80</v>
      </c>
      <c r="AL9" s="135" t="e">
        <v>#N/A</v>
      </c>
      <c r="AM9" s="135" t="e">
        <v>#N/A</v>
      </c>
      <c r="AN9" s="135" t="e">
        <v>#N/A</v>
      </c>
      <c r="AO9" s="135" t="e">
        <v>#N/A</v>
      </c>
      <c r="AP9" s="135" t="e">
        <v>#N/A</v>
      </c>
    </row>
    <row r="10" spans="1:42" x14ac:dyDescent="0.25">
      <c r="A10" t="s">
        <v>417</v>
      </c>
      <c r="B10" s="74" t="s">
        <v>418</v>
      </c>
      <c r="C10" s="5">
        <v>43</v>
      </c>
      <c r="D10" s="5">
        <v>38</v>
      </c>
      <c r="E10" s="130">
        <v>1</v>
      </c>
      <c r="F10" s="130">
        <v>0.98</v>
      </c>
      <c r="G10" s="130">
        <v>1</v>
      </c>
      <c r="H10" s="130">
        <v>0.98</v>
      </c>
      <c r="I10" s="51">
        <f t="shared" si="1"/>
        <v>5</v>
      </c>
      <c r="J10" s="130">
        <v>0.88</v>
      </c>
      <c r="K10" s="130">
        <v>0.12</v>
      </c>
      <c r="L10" s="84" t="s">
        <v>189</v>
      </c>
      <c r="M10" s="84" t="s">
        <v>584</v>
      </c>
      <c r="N10" s="6">
        <v>0.02</v>
      </c>
      <c r="O10" t="str">
        <f t="shared" si="2"/>
        <v>RC9</v>
      </c>
      <c r="P10" s="22">
        <f t="shared" si="3"/>
        <v>4</v>
      </c>
      <c r="Q10" s="22">
        <f t="shared" si="4"/>
        <v>2</v>
      </c>
      <c r="R10" s="22">
        <f t="shared" si="5"/>
        <v>4</v>
      </c>
      <c r="S10" s="22">
        <f t="shared" si="6"/>
        <v>4</v>
      </c>
      <c r="T10" s="40">
        <f>IF('AAA Summary'!$L$59=4, RANK(H10,H$8:H$79,1)+COUNTIF($H$8:H10,H10)-1, IF('AAA Summary'!$L$59=3, RANK(G10,G$8:G$79,1)+COUNTIF($G$8:G10,G10)-1, IF('AAA Summary'!$L$59=2, RANK(F10,F$8:F$79,1)+COUNTIF($F$8:F10,F10)-1, IF('AAA Summary'!$L$59=1, RANK(E10,E$8:E$79,1)+COUNTIF($E$8:E10,E10)-1))))</f>
        <v>54</v>
      </c>
      <c r="U10" s="28">
        <f>IF('AAA Summary'!$L$59=4, H10, IF('AAA Summary'!$L$59=3, G10, IF('AAA Summary'!$L$59=2, F10, IF('AAA Summary'!$L$59=1, E10))))</f>
        <v>1</v>
      </c>
      <c r="V10">
        <f t="shared" si="7"/>
        <v>9</v>
      </c>
      <c r="W10" s="9">
        <f t="shared" si="8"/>
        <v>88</v>
      </c>
      <c r="X10" s="84" t="s">
        <v>583</v>
      </c>
      <c r="Y10" s="131">
        <v>0.47</v>
      </c>
      <c r="Z10" s="9">
        <v>59</v>
      </c>
      <c r="AA10">
        <v>35</v>
      </c>
      <c r="AB10">
        <v>124</v>
      </c>
      <c r="AC10">
        <f t="shared" si="9"/>
        <v>24</v>
      </c>
      <c r="AD10">
        <f t="shared" si="10"/>
        <v>65</v>
      </c>
      <c r="AE10">
        <v>56</v>
      </c>
      <c r="AF10">
        <v>47</v>
      </c>
      <c r="AG10">
        <v>31.176189999999998</v>
      </c>
      <c r="AH10">
        <v>62.345269999999999</v>
      </c>
      <c r="AI10" s="51">
        <f t="shared" si="11"/>
        <v>15.823810000000002</v>
      </c>
      <c r="AJ10" s="51">
        <f t="shared" si="12"/>
        <v>15.345269999999999</v>
      </c>
      <c r="AK10" s="51">
        <v>80</v>
      </c>
      <c r="AL10" s="135">
        <v>11</v>
      </c>
      <c r="AM10">
        <f>IF('AAA Summary'!$M$28=2, AF10, IF('AAA Summary'!$M$28=1,Z10))</f>
        <v>59</v>
      </c>
      <c r="AN10">
        <f>IF('AAA Summary'!$M$28=2, AI10, IF('AAA Summary'!$M$28=1,AC10))</f>
        <v>24</v>
      </c>
      <c r="AO10">
        <f>IF('AAA Summary'!$M$28=2, AJ10, IF('AAA Summary'!$M$28=1,AD10))</f>
        <v>65</v>
      </c>
      <c r="AP10">
        <f>IF('AAA Summary'!$M$28=2, AK10, IF('AAA Summary'!$M$28=1,AE10))</f>
        <v>56</v>
      </c>
    </row>
    <row r="11" spans="1:42" x14ac:dyDescent="0.25">
      <c r="A11" t="s">
        <v>137</v>
      </c>
      <c r="B11" s="74" t="s">
        <v>138</v>
      </c>
      <c r="C11" s="5">
        <v>100</v>
      </c>
      <c r="D11" s="5">
        <v>23</v>
      </c>
      <c r="E11" s="130">
        <v>0.87</v>
      </c>
      <c r="F11" s="130">
        <v>0.99</v>
      </c>
      <c r="G11" s="130">
        <v>0.91</v>
      </c>
      <c r="H11" s="130">
        <v>0.76</v>
      </c>
      <c r="I11" s="51">
        <f t="shared" si="1"/>
        <v>77</v>
      </c>
      <c r="J11" s="130">
        <v>0.23</v>
      </c>
      <c r="K11" s="130">
        <v>0.77</v>
      </c>
      <c r="L11" s="84" t="s">
        <v>171</v>
      </c>
      <c r="M11" s="84" t="s">
        <v>273</v>
      </c>
      <c r="N11" s="6">
        <v>1.9E-2</v>
      </c>
      <c r="O11" t="str">
        <f t="shared" si="2"/>
        <v>ZT001</v>
      </c>
      <c r="P11" s="22">
        <f t="shared" si="3"/>
        <v>1</v>
      </c>
      <c r="Q11" s="22">
        <f t="shared" si="4"/>
        <v>3</v>
      </c>
      <c r="R11" s="22">
        <f t="shared" si="5"/>
        <v>2</v>
      </c>
      <c r="S11" s="22">
        <f t="shared" si="6"/>
        <v>1</v>
      </c>
      <c r="T11" s="40">
        <f>IF('AAA Summary'!$L$59=4, RANK(H11,H$8:H$79,1)+COUNTIF($H$8:H11,H11)-1, IF('AAA Summary'!$L$59=3, RANK(G11,G$8:G$79,1)+COUNTIF($G$8:G11,G11)-1, IF('AAA Summary'!$L$59=2, RANK(F11,F$8:F$79,1)+COUNTIF($F$8:F11,F11)-1, IF('AAA Summary'!$L$59=1, RANK(E11,E$8:E$79,1)+COUNTIF($E$8:E11,E11)-1))))</f>
        <v>16</v>
      </c>
      <c r="U11" s="28">
        <f>IF('AAA Summary'!$L$59=4, H11, IF('AAA Summary'!$L$59=3, G11, IF('AAA Summary'!$L$59=2, F11, IF('AAA Summary'!$L$59=1, E11))))</f>
        <v>0.87</v>
      </c>
      <c r="V11">
        <f t="shared" si="7"/>
        <v>66</v>
      </c>
      <c r="W11" s="9">
        <f t="shared" si="8"/>
        <v>23</v>
      </c>
      <c r="X11" s="84" t="s">
        <v>654</v>
      </c>
      <c r="Y11" s="131">
        <v>0.1</v>
      </c>
      <c r="Z11" s="9">
        <v>148</v>
      </c>
      <c r="AA11">
        <v>85</v>
      </c>
      <c r="AB11">
        <v>204</v>
      </c>
      <c r="AC11">
        <f t="shared" si="9"/>
        <v>63</v>
      </c>
      <c r="AD11">
        <f t="shared" si="10"/>
        <v>56</v>
      </c>
      <c r="AE11">
        <v>56</v>
      </c>
      <c r="AF11">
        <v>10</v>
      </c>
      <c r="AG11">
        <v>4.8405900000000006</v>
      </c>
      <c r="AH11">
        <v>18.731339999999999</v>
      </c>
      <c r="AI11" s="51">
        <f t="shared" si="11"/>
        <v>5.1594099999999994</v>
      </c>
      <c r="AJ11" s="51">
        <f t="shared" si="12"/>
        <v>8.7313399999999994</v>
      </c>
      <c r="AK11" s="51">
        <v>80</v>
      </c>
      <c r="AL11" s="135">
        <v>57</v>
      </c>
      <c r="AM11">
        <f>IF('AAA Summary'!$M$28=2, AF11, IF('AAA Summary'!$M$28=1,Z11))</f>
        <v>148</v>
      </c>
      <c r="AN11">
        <f>IF('AAA Summary'!$M$28=2, AI11, IF('AAA Summary'!$M$28=1,AC11))</f>
        <v>63</v>
      </c>
      <c r="AO11">
        <f>IF('AAA Summary'!$M$28=2, AJ11, IF('AAA Summary'!$M$28=1,AD11))</f>
        <v>56</v>
      </c>
      <c r="AP11">
        <f>IF('AAA Summary'!$M$28=2, AK11, IF('AAA Summary'!$M$28=1,AE11))</f>
        <v>56</v>
      </c>
    </row>
    <row r="12" spans="1:42" x14ac:dyDescent="0.25">
      <c r="A12" t="s">
        <v>0</v>
      </c>
      <c r="B12" s="74" t="s">
        <v>1</v>
      </c>
      <c r="C12" s="5">
        <v>24</v>
      </c>
      <c r="D12" s="5">
        <v>20</v>
      </c>
      <c r="E12" s="130">
        <v>0.96</v>
      </c>
      <c r="F12" s="130">
        <v>1</v>
      </c>
      <c r="G12" s="130">
        <v>1</v>
      </c>
      <c r="H12" s="130">
        <v>0.92</v>
      </c>
      <c r="I12" s="51">
        <f t="shared" si="1"/>
        <v>4</v>
      </c>
      <c r="J12" s="130">
        <v>0.83</v>
      </c>
      <c r="K12" s="130">
        <v>0.17</v>
      </c>
      <c r="L12" s="84" t="s">
        <v>202</v>
      </c>
      <c r="M12" s="84" t="s">
        <v>227</v>
      </c>
      <c r="N12" s="6">
        <v>4.3999999999999997E-2</v>
      </c>
      <c r="O12" t="str">
        <f t="shared" si="2"/>
        <v>7A1</v>
      </c>
      <c r="P12" s="22">
        <f t="shared" si="3"/>
        <v>3</v>
      </c>
      <c r="Q12" s="22">
        <f t="shared" si="4"/>
        <v>4</v>
      </c>
      <c r="R12" s="22">
        <f t="shared" si="5"/>
        <v>4</v>
      </c>
      <c r="S12" s="22">
        <f t="shared" si="6"/>
        <v>3</v>
      </c>
      <c r="T12" s="40">
        <f>IF('AAA Summary'!$L$59=4, RANK(H12,H$8:H$79,1)+COUNTIF($H$8:H12,H12)-1, IF('AAA Summary'!$L$59=3, RANK(G12,G$8:G$79,1)+COUNTIF($G$8:G12,G12)-1, IF('AAA Summary'!$L$59=2, RANK(F12,F$8:F$79,1)+COUNTIF($F$8:F12,F12)-1, IF('AAA Summary'!$L$59=1, RANK(E12,E$8:E$79,1)+COUNTIF($E$8:E12,E12)-1))))</f>
        <v>38</v>
      </c>
      <c r="U12" s="28">
        <f>IF('AAA Summary'!$L$59=4, H12, IF('AAA Summary'!$L$59=3, G12, IF('AAA Summary'!$L$59=2, F12, IF('AAA Summary'!$L$59=1, E12))))</f>
        <v>0.96</v>
      </c>
      <c r="V12">
        <f t="shared" si="7"/>
        <v>11</v>
      </c>
      <c r="W12" s="9">
        <f t="shared" si="8"/>
        <v>83</v>
      </c>
      <c r="X12" s="84" t="s">
        <v>571</v>
      </c>
      <c r="Y12" s="131">
        <v>0.39</v>
      </c>
      <c r="Z12" s="9">
        <v>74</v>
      </c>
      <c r="AA12">
        <v>31</v>
      </c>
      <c r="AB12">
        <v>156</v>
      </c>
      <c r="AC12">
        <f t="shared" si="9"/>
        <v>43</v>
      </c>
      <c r="AD12">
        <f t="shared" si="10"/>
        <v>82</v>
      </c>
      <c r="AE12">
        <v>56</v>
      </c>
      <c r="AF12">
        <v>39</v>
      </c>
      <c r="AG12">
        <v>19.707640000000001</v>
      </c>
      <c r="AH12">
        <v>61.458100000000002</v>
      </c>
      <c r="AI12" s="51">
        <f t="shared" si="11"/>
        <v>19.292359999999999</v>
      </c>
      <c r="AJ12" s="51">
        <f t="shared" si="12"/>
        <v>22.458100000000002</v>
      </c>
      <c r="AK12" s="51">
        <v>80</v>
      </c>
      <c r="AL12" s="135">
        <v>24</v>
      </c>
      <c r="AM12">
        <f>IF('AAA Summary'!$M$28=2, AF12, IF('AAA Summary'!$M$28=1,Z12))</f>
        <v>74</v>
      </c>
      <c r="AN12">
        <f>IF('AAA Summary'!$M$28=2, AI12, IF('AAA Summary'!$M$28=1,AC12))</f>
        <v>43</v>
      </c>
      <c r="AO12">
        <f>IF('AAA Summary'!$M$28=2, AJ12, IF('AAA Summary'!$M$28=1,AD12))</f>
        <v>82</v>
      </c>
      <c r="AP12">
        <f>IF('AAA Summary'!$M$28=2, AK12, IF('AAA Summary'!$M$28=1,AE12))</f>
        <v>56</v>
      </c>
    </row>
    <row r="13" spans="1:42" x14ac:dyDescent="0.25">
      <c r="A13" t="s">
        <v>15</v>
      </c>
      <c r="B13" s="74" t="s">
        <v>16</v>
      </c>
      <c r="C13" s="5">
        <v>49</v>
      </c>
      <c r="D13" s="5">
        <v>29</v>
      </c>
      <c r="E13" s="130">
        <v>0.96</v>
      </c>
      <c r="F13" s="130">
        <v>0.94</v>
      </c>
      <c r="G13" s="130">
        <v>0.96</v>
      </c>
      <c r="H13" s="130">
        <v>0.98</v>
      </c>
      <c r="I13" s="51">
        <f t="shared" si="1"/>
        <v>20</v>
      </c>
      <c r="J13" s="130">
        <v>0.59</v>
      </c>
      <c r="K13" s="130">
        <v>0.41</v>
      </c>
      <c r="L13" s="84" t="s">
        <v>176</v>
      </c>
      <c r="M13" s="84" t="s">
        <v>209</v>
      </c>
      <c r="N13" s="6">
        <v>1.2999999999999999E-2</v>
      </c>
      <c r="O13" t="str">
        <f t="shared" si="2"/>
        <v>RAE</v>
      </c>
      <c r="P13" s="22">
        <f t="shared" si="3"/>
        <v>3</v>
      </c>
      <c r="Q13" s="22">
        <f t="shared" si="4"/>
        <v>1</v>
      </c>
      <c r="R13" s="22">
        <f t="shared" si="5"/>
        <v>3</v>
      </c>
      <c r="S13" s="22">
        <f t="shared" si="6"/>
        <v>4</v>
      </c>
      <c r="T13" s="40">
        <f>IF('AAA Summary'!$L$59=4, RANK(H13,H$8:H$79,1)+COUNTIF($H$8:H13,H13)-1, IF('AAA Summary'!$L$59=3, RANK(G13,G$8:G$79,1)+COUNTIF($G$8:G13,G13)-1, IF('AAA Summary'!$L$59=2, RANK(F13,F$8:F$79,1)+COUNTIF($F$8:F13,F13)-1, IF('AAA Summary'!$L$59=1, RANK(E13,E$8:E$79,1)+COUNTIF($E$8:E13,E13)-1))))</f>
        <v>39</v>
      </c>
      <c r="U13" s="28">
        <f>IF('AAA Summary'!$L$59=4, H13, IF('AAA Summary'!$L$59=3, G13, IF('AAA Summary'!$L$59=2, F13, IF('AAA Summary'!$L$59=1, E13))))</f>
        <v>0.96</v>
      </c>
      <c r="V13">
        <f t="shared" si="7"/>
        <v>36</v>
      </c>
      <c r="W13" s="9">
        <f t="shared" si="8"/>
        <v>59</v>
      </c>
      <c r="X13" s="84" t="s">
        <v>578</v>
      </c>
      <c r="Y13" s="131">
        <v>0.6</v>
      </c>
      <c r="Z13" s="9">
        <v>53</v>
      </c>
      <c r="AA13">
        <v>39</v>
      </c>
      <c r="AB13">
        <v>84</v>
      </c>
      <c r="AC13">
        <f t="shared" si="9"/>
        <v>14</v>
      </c>
      <c r="AD13">
        <f t="shared" si="10"/>
        <v>31</v>
      </c>
      <c r="AE13">
        <v>56</v>
      </c>
      <c r="AF13">
        <v>60</v>
      </c>
      <c r="AG13">
        <v>44.266379999999998</v>
      </c>
      <c r="AH13">
        <v>73.630759999999995</v>
      </c>
      <c r="AI13" s="51">
        <f t="shared" si="11"/>
        <v>15.733620000000002</v>
      </c>
      <c r="AJ13" s="51">
        <f t="shared" si="12"/>
        <v>13.630759999999995</v>
      </c>
      <c r="AK13" s="51">
        <v>80</v>
      </c>
      <c r="AL13" s="135">
        <v>7</v>
      </c>
      <c r="AM13">
        <f>IF('AAA Summary'!$M$28=2, AF13, IF('AAA Summary'!$M$28=1,Z13))</f>
        <v>53</v>
      </c>
      <c r="AN13">
        <f>IF('AAA Summary'!$M$28=2, AI13, IF('AAA Summary'!$M$28=1,AC13))</f>
        <v>14</v>
      </c>
      <c r="AO13">
        <f>IF('AAA Summary'!$M$28=2, AJ13, IF('AAA Summary'!$M$28=1,AD13))</f>
        <v>31</v>
      </c>
      <c r="AP13">
        <f>IF('AAA Summary'!$M$28=2, AK13, IF('AAA Summary'!$M$28=1,AE13))</f>
        <v>56</v>
      </c>
    </row>
    <row r="14" spans="1:42" x14ac:dyDescent="0.25">
      <c r="A14" t="s">
        <v>35</v>
      </c>
      <c r="B14" s="74" t="s">
        <v>36</v>
      </c>
      <c r="C14" s="5">
        <v>67</v>
      </c>
      <c r="D14" s="5">
        <v>26</v>
      </c>
      <c r="E14" s="130">
        <v>0.84</v>
      </c>
      <c r="F14" s="130">
        <v>0.97</v>
      </c>
      <c r="G14" s="130">
        <v>0.85</v>
      </c>
      <c r="H14" s="130">
        <v>0.91</v>
      </c>
      <c r="I14" s="51">
        <f t="shared" si="1"/>
        <v>41</v>
      </c>
      <c r="J14" s="130">
        <v>0.39</v>
      </c>
      <c r="K14" s="130">
        <v>0.61</v>
      </c>
      <c r="L14" s="84" t="s">
        <v>187</v>
      </c>
      <c r="M14" s="84" t="s">
        <v>215</v>
      </c>
      <c r="N14" s="6">
        <v>5.0000000000000001E-3</v>
      </c>
      <c r="O14" t="str">
        <f t="shared" si="2"/>
        <v>RGT</v>
      </c>
      <c r="P14" s="22">
        <f t="shared" si="3"/>
        <v>1</v>
      </c>
      <c r="Q14" s="22">
        <f t="shared" si="4"/>
        <v>2</v>
      </c>
      <c r="R14" s="22">
        <f t="shared" si="5"/>
        <v>1</v>
      </c>
      <c r="S14" s="22">
        <f t="shared" si="6"/>
        <v>3</v>
      </c>
      <c r="T14" s="40">
        <f>IF('AAA Summary'!$L$59=4, RANK(H14,H$8:H$79,1)+COUNTIF($H$8:H14,H14)-1, IF('AAA Summary'!$L$59=3, RANK(G14,G$8:G$79,1)+COUNTIF($G$8:G14,G14)-1, IF('AAA Summary'!$L$59=2, RANK(F14,F$8:F$79,1)+COUNTIF($F$8:F14,F14)-1, IF('AAA Summary'!$L$59=1, RANK(E14,E$8:E$79,1)+COUNTIF($E$8:E14,E14)-1))))</f>
        <v>13</v>
      </c>
      <c r="U14" s="28">
        <f>IF('AAA Summary'!$L$59=4, H14, IF('AAA Summary'!$L$59=3, G14, IF('AAA Summary'!$L$59=2, F14, IF('AAA Summary'!$L$59=1, E14))))</f>
        <v>0.84</v>
      </c>
      <c r="V14">
        <f t="shared" si="7"/>
        <v>58</v>
      </c>
      <c r="W14" s="9">
        <f t="shared" si="8"/>
        <v>39</v>
      </c>
      <c r="X14" s="84" t="s">
        <v>594</v>
      </c>
      <c r="Y14" s="131">
        <v>0.27</v>
      </c>
      <c r="Z14" s="9">
        <v>95</v>
      </c>
      <c r="AA14">
        <v>56</v>
      </c>
      <c r="AB14">
        <v>141</v>
      </c>
      <c r="AC14">
        <f t="shared" si="9"/>
        <v>39</v>
      </c>
      <c r="AD14">
        <f t="shared" si="10"/>
        <v>46</v>
      </c>
      <c r="AE14">
        <v>56</v>
      </c>
      <c r="AF14">
        <v>27</v>
      </c>
      <c r="AG14">
        <v>15.83253</v>
      </c>
      <c r="AH14">
        <v>40.302030000000002</v>
      </c>
      <c r="AI14" s="51">
        <f t="shared" si="11"/>
        <v>11.16747</v>
      </c>
      <c r="AJ14" s="51">
        <f t="shared" si="12"/>
        <v>13.302030000000002</v>
      </c>
      <c r="AK14" s="51">
        <v>80</v>
      </c>
      <c r="AL14" s="135">
        <v>40</v>
      </c>
      <c r="AM14">
        <f>IF('AAA Summary'!$M$28=2, AF14, IF('AAA Summary'!$M$28=1,Z14))</f>
        <v>95</v>
      </c>
      <c r="AN14">
        <f>IF('AAA Summary'!$M$28=2, AI14, IF('AAA Summary'!$M$28=1,AC14))</f>
        <v>39</v>
      </c>
      <c r="AO14">
        <f>IF('AAA Summary'!$M$28=2, AJ14, IF('AAA Summary'!$M$28=1,AD14))</f>
        <v>46</v>
      </c>
      <c r="AP14">
        <f>IF('AAA Summary'!$M$28=2, AK14, IF('AAA Summary'!$M$28=1,AE14))</f>
        <v>56</v>
      </c>
    </row>
    <row r="15" spans="1:42" x14ac:dyDescent="0.25">
      <c r="A15" t="s">
        <v>3</v>
      </c>
      <c r="B15" s="74" t="s">
        <v>4</v>
      </c>
      <c r="C15" s="5">
        <v>34</v>
      </c>
      <c r="D15" s="5">
        <v>9</v>
      </c>
      <c r="E15" s="130">
        <v>0.97</v>
      </c>
      <c r="F15" s="130">
        <v>0.97</v>
      </c>
      <c r="G15" s="130">
        <v>0.97</v>
      </c>
      <c r="H15" s="130">
        <v>0.97</v>
      </c>
      <c r="I15" s="51">
        <f t="shared" si="1"/>
        <v>25</v>
      </c>
      <c r="J15" s="130">
        <v>0.26</v>
      </c>
      <c r="K15" s="130">
        <v>0.74</v>
      </c>
      <c r="L15" s="84" t="s">
        <v>409</v>
      </c>
      <c r="M15" s="84" t="s">
        <v>206</v>
      </c>
      <c r="N15" s="6">
        <v>1.9E-2</v>
      </c>
      <c r="O15" t="str">
        <f t="shared" si="2"/>
        <v>7A4</v>
      </c>
      <c r="P15" s="22">
        <f t="shared" si="3"/>
        <v>3</v>
      </c>
      <c r="Q15" s="22">
        <f t="shared" si="4"/>
        <v>2</v>
      </c>
      <c r="R15" s="22">
        <f t="shared" si="5"/>
        <v>3</v>
      </c>
      <c r="S15" s="22">
        <f t="shared" si="6"/>
        <v>4</v>
      </c>
      <c r="T15" s="40">
        <f>IF('AAA Summary'!$L$59=4, RANK(H15,H$8:H$79,1)+COUNTIF($H$8:H15,H15)-1, IF('AAA Summary'!$L$59=3, RANK(G15,G$8:G$79,1)+COUNTIF($G$8:G15,G15)-1, IF('AAA Summary'!$L$59=2, RANK(F15,F$8:F$79,1)+COUNTIF($F$8:F15,F15)-1, IF('AAA Summary'!$L$59=1, RANK(E15,E$8:E$79,1)+COUNTIF($E$8:E15,E15)-1))))</f>
        <v>42</v>
      </c>
      <c r="U15" s="28">
        <f>IF('AAA Summary'!$L$59=4, H15, IF('AAA Summary'!$L$59=3, G15, IF('AAA Summary'!$L$59=2, F15, IF('AAA Summary'!$L$59=1, E15))))</f>
        <v>0.97</v>
      </c>
      <c r="V15">
        <f t="shared" si="7"/>
        <v>64</v>
      </c>
      <c r="W15" s="9">
        <f t="shared" si="8"/>
        <v>26</v>
      </c>
      <c r="X15" s="84" t="s">
        <v>573</v>
      </c>
      <c r="Y15" s="131">
        <v>0.12</v>
      </c>
      <c r="Z15" s="9">
        <v>128</v>
      </c>
      <c r="AA15">
        <v>78</v>
      </c>
      <c r="AB15">
        <v>164</v>
      </c>
      <c r="AC15">
        <f t="shared" si="9"/>
        <v>50</v>
      </c>
      <c r="AD15">
        <f t="shared" si="10"/>
        <v>36</v>
      </c>
      <c r="AE15">
        <v>56</v>
      </c>
      <c r="AF15">
        <v>12</v>
      </c>
      <c r="AG15">
        <v>3.4032899999999997</v>
      </c>
      <c r="AH15">
        <v>28.201619999999998</v>
      </c>
      <c r="AI15" s="51">
        <f t="shared" si="11"/>
        <v>8.5967099999999999</v>
      </c>
      <c r="AJ15" s="51">
        <f t="shared" si="12"/>
        <v>16.201619999999998</v>
      </c>
      <c r="AK15" s="51">
        <v>80</v>
      </c>
      <c r="AL15" s="135">
        <v>53</v>
      </c>
      <c r="AM15">
        <f>IF('AAA Summary'!$M$28=2, AF15, IF('AAA Summary'!$M$28=1,Z15))</f>
        <v>128</v>
      </c>
      <c r="AN15">
        <f>IF('AAA Summary'!$M$28=2, AI15, IF('AAA Summary'!$M$28=1,AC15))</f>
        <v>50</v>
      </c>
      <c r="AO15">
        <f>IF('AAA Summary'!$M$28=2, AJ15, IF('AAA Summary'!$M$28=1,AD15))</f>
        <v>36</v>
      </c>
      <c r="AP15">
        <f>IF('AAA Summary'!$M$28=2, AK15, IF('AAA Summary'!$M$28=1,AE15))</f>
        <v>56</v>
      </c>
    </row>
    <row r="16" spans="1:42" x14ac:dyDescent="0.25">
      <c r="A16" t="s">
        <v>51</v>
      </c>
      <c r="B16" s="74" t="s">
        <v>52</v>
      </c>
      <c r="C16" s="5">
        <v>65</v>
      </c>
      <c r="D16" s="5">
        <v>58</v>
      </c>
      <c r="E16" s="130">
        <v>0.89</v>
      </c>
      <c r="F16" s="130">
        <v>0.98</v>
      </c>
      <c r="G16" s="130">
        <v>0.89</v>
      </c>
      <c r="H16" s="130">
        <v>0.89</v>
      </c>
      <c r="I16" s="51">
        <f t="shared" si="1"/>
        <v>7</v>
      </c>
      <c r="J16" s="130">
        <v>0.89</v>
      </c>
      <c r="K16" s="130">
        <v>0.11</v>
      </c>
      <c r="L16" s="84" t="s">
        <v>189</v>
      </c>
      <c r="M16" s="84" t="s">
        <v>271</v>
      </c>
      <c r="N16" s="6">
        <v>1.2999999999999999E-2</v>
      </c>
      <c r="O16" t="str">
        <f t="shared" si="2"/>
        <v>RJR</v>
      </c>
      <c r="P16" s="22">
        <f t="shared" si="3"/>
        <v>2</v>
      </c>
      <c r="Q16" s="22">
        <f t="shared" si="4"/>
        <v>2</v>
      </c>
      <c r="R16" s="22">
        <f t="shared" si="5"/>
        <v>2</v>
      </c>
      <c r="S16" s="22">
        <f t="shared" si="6"/>
        <v>2</v>
      </c>
      <c r="T16" s="40">
        <f>IF('AAA Summary'!$L$59=4, RANK(H16,H$8:H$79,1)+COUNTIF($H$8:H16,H16)-1, IF('AAA Summary'!$L$59=3, RANK(G16,G$8:G$79,1)+COUNTIF($G$8:G16,G16)-1, IF('AAA Summary'!$L$59=2, RANK(F16,F$8:F$79,1)+COUNTIF($F$8:F16,F16)-1, IF('AAA Summary'!$L$59=1, RANK(E16,E$8:E$79,1)+COUNTIF($E$8:E16,E16)-1))))</f>
        <v>19</v>
      </c>
      <c r="U16" s="28">
        <f>IF('AAA Summary'!$L$59=4, H16, IF('AAA Summary'!$L$59=3, G16, IF('AAA Summary'!$L$59=2, F16, IF('AAA Summary'!$L$59=1, E16))))</f>
        <v>0.89</v>
      </c>
      <c r="V16">
        <f t="shared" si="7"/>
        <v>7</v>
      </c>
      <c r="W16" s="9">
        <f t="shared" si="8"/>
        <v>89</v>
      </c>
      <c r="X16" s="84" t="s">
        <v>604</v>
      </c>
      <c r="Y16" s="131">
        <v>0.48</v>
      </c>
      <c r="Z16" s="9">
        <v>59</v>
      </c>
      <c r="AA16">
        <v>27</v>
      </c>
      <c r="AB16">
        <v>111</v>
      </c>
      <c r="AC16">
        <f t="shared" si="9"/>
        <v>32</v>
      </c>
      <c r="AD16">
        <f t="shared" si="10"/>
        <v>52</v>
      </c>
      <c r="AE16">
        <v>56</v>
      </c>
      <c r="AF16">
        <v>48</v>
      </c>
      <c r="AG16">
        <v>34.951120000000003</v>
      </c>
      <c r="AH16">
        <v>61.782630000000005</v>
      </c>
      <c r="AI16" s="51">
        <f t="shared" si="11"/>
        <v>13.048879999999997</v>
      </c>
      <c r="AJ16" s="51">
        <f t="shared" si="12"/>
        <v>13.782630000000005</v>
      </c>
      <c r="AK16" s="51">
        <v>80</v>
      </c>
      <c r="AL16" s="135">
        <v>10</v>
      </c>
      <c r="AM16">
        <f>IF('AAA Summary'!$M$28=2, AF16, IF('AAA Summary'!$M$28=1,Z16))</f>
        <v>59</v>
      </c>
      <c r="AN16">
        <f>IF('AAA Summary'!$M$28=2, AI16, IF('AAA Summary'!$M$28=1,AC16))</f>
        <v>32</v>
      </c>
      <c r="AO16">
        <f>IF('AAA Summary'!$M$28=2, AJ16, IF('AAA Summary'!$M$28=1,AD16))</f>
        <v>52</v>
      </c>
      <c r="AP16">
        <f>IF('AAA Summary'!$M$28=2, AK16, IF('AAA Summary'!$M$28=1,AE16))</f>
        <v>56</v>
      </c>
    </row>
    <row r="17" spans="1:42" x14ac:dyDescent="0.25">
      <c r="A17" t="s">
        <v>68</v>
      </c>
      <c r="B17" s="74" t="s">
        <v>293</v>
      </c>
      <c r="C17" s="5">
        <v>8</v>
      </c>
      <c r="D17" s="5">
        <v>3</v>
      </c>
      <c r="E17" s="130">
        <v>0.63</v>
      </c>
      <c r="F17" s="130">
        <v>0.75</v>
      </c>
      <c r="G17" s="130">
        <v>0.56999999999999995</v>
      </c>
      <c r="H17" s="130">
        <v>0.63</v>
      </c>
      <c r="I17" s="51">
        <f t="shared" si="1"/>
        <v>5</v>
      </c>
      <c r="J17" s="130">
        <v>0.38</v>
      </c>
      <c r="K17" s="130">
        <v>0.63</v>
      </c>
      <c r="L17" s="84" t="s">
        <v>227</v>
      </c>
      <c r="M17" s="84" t="s">
        <v>616</v>
      </c>
      <c r="N17" s="6">
        <v>0</v>
      </c>
      <c r="O17" t="str">
        <f t="shared" si="2"/>
        <v>RP5</v>
      </c>
      <c r="P17" s="22">
        <f t="shared" si="3"/>
        <v>1</v>
      </c>
      <c r="Q17" s="22">
        <f t="shared" si="4"/>
        <v>1</v>
      </c>
      <c r="R17" s="22">
        <f t="shared" si="5"/>
        <v>1</v>
      </c>
      <c r="S17" s="22">
        <f t="shared" si="6"/>
        <v>1</v>
      </c>
      <c r="T17" s="40">
        <f>IF('AAA Summary'!$L$59=4, RANK(H17,H$8:H$79,1)+COUNTIF($H$8:H17,H17)-1, IF('AAA Summary'!$L$59=3, RANK(G17,G$8:G$79,1)+COUNTIF($G$8:G17,G17)-1, IF('AAA Summary'!$L$59=2, RANK(F17,F$8:F$79,1)+COUNTIF($F$8:F17,F17)-1, IF('AAA Summary'!$L$59=1, RANK(E17,E$8:E$79,1)+COUNTIF($E$8:E17,E17)-1))))</f>
        <v>3</v>
      </c>
      <c r="U17" s="28">
        <f>IF('AAA Summary'!$L$59=4, H17, IF('AAA Summary'!$L$59=3, G17, IF('AAA Summary'!$L$59=2, F17, IF('AAA Summary'!$L$59=1, E17))))</f>
        <v>0.63</v>
      </c>
      <c r="V17">
        <f t="shared" si="7"/>
        <v>61</v>
      </c>
      <c r="W17" s="9">
        <f t="shared" si="8"/>
        <v>38</v>
      </c>
      <c r="X17" s="84" t="s">
        <v>227</v>
      </c>
      <c r="Y17" s="131" t="s">
        <v>227</v>
      </c>
      <c r="Z17" s="135" t="e">
        <v>#N/A</v>
      </c>
      <c r="AA17" s="135" t="e">
        <v>#N/A</v>
      </c>
      <c r="AB17" s="135" t="e">
        <v>#N/A</v>
      </c>
      <c r="AC17" s="135" t="e">
        <v>#N/A</v>
      </c>
      <c r="AD17" s="135" t="e">
        <v>#N/A</v>
      </c>
      <c r="AE17">
        <v>56</v>
      </c>
      <c r="AF17" s="135" t="e">
        <v>#N/A</v>
      </c>
      <c r="AG17" t="e">
        <v>#N/A</v>
      </c>
      <c r="AH17" t="e">
        <v>#N/A</v>
      </c>
      <c r="AI17" s="51" t="e">
        <f t="shared" si="11"/>
        <v>#N/A</v>
      </c>
      <c r="AJ17" s="51" t="e">
        <f t="shared" si="12"/>
        <v>#N/A</v>
      </c>
      <c r="AK17" s="51">
        <v>80</v>
      </c>
      <c r="AL17" s="135" t="e">
        <v>#N/A</v>
      </c>
      <c r="AM17" t="e">
        <f>IF('AAA Summary'!$M$28=2, AF17, IF('AAA Summary'!$M$28=1,Z17))</f>
        <v>#N/A</v>
      </c>
      <c r="AN17" t="e">
        <f>IF('AAA Summary'!$M$28=2, AI17, IF('AAA Summary'!$M$28=1,AC17))</f>
        <v>#N/A</v>
      </c>
      <c r="AO17" t="e">
        <f>IF('AAA Summary'!$M$28=2, AJ17, IF('AAA Summary'!$M$28=1,AD17))</f>
        <v>#N/A</v>
      </c>
      <c r="AP17">
        <f>IF('AAA Summary'!$M$28=2, AK17, IF('AAA Summary'!$M$28=1,AE17))</f>
        <v>56</v>
      </c>
    </row>
    <row r="18" spans="1:42" x14ac:dyDescent="0.25">
      <c r="A18" t="s">
        <v>103</v>
      </c>
      <c r="B18" s="74" t="s">
        <v>104</v>
      </c>
      <c r="C18" s="5">
        <v>21</v>
      </c>
      <c r="D18" s="5">
        <v>19</v>
      </c>
      <c r="E18" s="130">
        <v>1</v>
      </c>
      <c r="F18" s="130">
        <v>0.95</v>
      </c>
      <c r="G18" s="130">
        <v>1</v>
      </c>
      <c r="H18" s="130">
        <v>0.76</v>
      </c>
      <c r="I18" s="51">
        <f t="shared" si="1"/>
        <v>2</v>
      </c>
      <c r="J18" s="130">
        <v>0.9</v>
      </c>
      <c r="K18" s="130">
        <v>0.1</v>
      </c>
      <c r="L18" s="84" t="s">
        <v>168</v>
      </c>
      <c r="M18" s="84" t="s">
        <v>227</v>
      </c>
      <c r="N18" s="6">
        <v>1.7000000000000001E-2</v>
      </c>
      <c r="O18" t="str">
        <f t="shared" si="2"/>
        <v>RWH</v>
      </c>
      <c r="P18" s="22">
        <f t="shared" si="3"/>
        <v>4</v>
      </c>
      <c r="Q18" s="22">
        <f t="shared" si="4"/>
        <v>1</v>
      </c>
      <c r="R18" s="22">
        <f t="shared" si="5"/>
        <v>4</v>
      </c>
      <c r="S18" s="22">
        <f t="shared" si="6"/>
        <v>1</v>
      </c>
      <c r="T18" s="40">
        <f>IF('AAA Summary'!$L$59=4, RANK(H18,H$8:H$79,1)+COUNTIF($H$8:H18,H18)-1, IF('AAA Summary'!$L$59=3, RANK(G18,G$8:G$79,1)+COUNTIF($G$8:G18,G18)-1, IF('AAA Summary'!$L$59=2, RANK(F18,F$8:F$79,1)+COUNTIF($F$8:F18,F18)-1, IF('AAA Summary'!$L$59=1, RANK(E18,E$8:E$79,1)+COUNTIF($E$8:E18,E18)-1))))</f>
        <v>55</v>
      </c>
      <c r="U18" s="28">
        <f>IF('AAA Summary'!$L$59=4, H18, IF('AAA Summary'!$L$59=3, G18, IF('AAA Summary'!$L$59=2, F18, IF('AAA Summary'!$L$59=1, E18))))</f>
        <v>1</v>
      </c>
      <c r="V18">
        <f t="shared" si="7"/>
        <v>6</v>
      </c>
      <c r="W18" s="9">
        <f t="shared" si="8"/>
        <v>90</v>
      </c>
      <c r="X18" s="84" t="s">
        <v>637</v>
      </c>
      <c r="Y18" s="131">
        <v>0.28999999999999998</v>
      </c>
      <c r="Z18" s="9">
        <v>79</v>
      </c>
      <c r="AA18">
        <v>51</v>
      </c>
      <c r="AB18">
        <v>150</v>
      </c>
      <c r="AC18">
        <f t="shared" si="9"/>
        <v>28</v>
      </c>
      <c r="AD18">
        <f t="shared" si="10"/>
        <v>71</v>
      </c>
      <c r="AE18">
        <v>56</v>
      </c>
      <c r="AF18">
        <v>28.999999999999996</v>
      </c>
      <c r="AG18">
        <v>11.280940000000001</v>
      </c>
      <c r="AH18">
        <v>52.175110000000004</v>
      </c>
      <c r="AI18" s="51">
        <f t="shared" si="11"/>
        <v>17.719059999999995</v>
      </c>
      <c r="AJ18" s="51">
        <f t="shared" si="12"/>
        <v>23.175110000000007</v>
      </c>
      <c r="AK18" s="51">
        <v>80</v>
      </c>
      <c r="AL18" s="135">
        <v>30</v>
      </c>
      <c r="AM18">
        <f>IF('AAA Summary'!$M$28=2, AF18, IF('AAA Summary'!$M$28=1,Z18))</f>
        <v>79</v>
      </c>
      <c r="AN18">
        <f>IF('AAA Summary'!$M$28=2, AI18, IF('AAA Summary'!$M$28=1,AC18))</f>
        <v>28</v>
      </c>
      <c r="AO18">
        <f>IF('AAA Summary'!$M$28=2, AJ18, IF('AAA Summary'!$M$28=1,AD18))</f>
        <v>71</v>
      </c>
      <c r="AP18">
        <f>IF('AAA Summary'!$M$28=2, AK18, IF('AAA Summary'!$M$28=1,AE18))</f>
        <v>56</v>
      </c>
    </row>
    <row r="19" spans="1:42" x14ac:dyDescent="0.25">
      <c r="A19" t="s">
        <v>94</v>
      </c>
      <c r="B19" s="74" t="s">
        <v>95</v>
      </c>
      <c r="C19" s="5">
        <v>65</v>
      </c>
      <c r="D19" s="5">
        <v>46</v>
      </c>
      <c r="E19" s="130">
        <v>0.95</v>
      </c>
      <c r="F19" s="130">
        <v>0.97</v>
      </c>
      <c r="G19" s="130">
        <v>0.95</v>
      </c>
      <c r="H19" s="130">
        <v>0.94</v>
      </c>
      <c r="I19" s="51">
        <f t="shared" si="1"/>
        <v>19</v>
      </c>
      <c r="J19" s="130">
        <v>0.71</v>
      </c>
      <c r="K19" s="130">
        <v>0.28999999999999998</v>
      </c>
      <c r="L19" s="84" t="s">
        <v>629</v>
      </c>
      <c r="M19" s="84" t="s">
        <v>272</v>
      </c>
      <c r="N19" s="6">
        <v>0</v>
      </c>
      <c r="O19" t="str">
        <f t="shared" si="2"/>
        <v>RVV</v>
      </c>
      <c r="P19" s="22">
        <f t="shared" si="3"/>
        <v>3</v>
      </c>
      <c r="Q19" s="22">
        <f t="shared" si="4"/>
        <v>2</v>
      </c>
      <c r="R19" s="22">
        <f t="shared" si="5"/>
        <v>3</v>
      </c>
      <c r="S19" s="22">
        <f t="shared" si="6"/>
        <v>3</v>
      </c>
      <c r="T19" s="40">
        <f>IF('AAA Summary'!$L$59=4, RANK(H19,H$8:H$79,1)+COUNTIF($H$8:H19,H19)-1, IF('AAA Summary'!$L$59=3, RANK(G19,G$8:G$79,1)+COUNTIF($G$8:G19,G19)-1, IF('AAA Summary'!$L$59=2, RANK(F19,F$8:F$79,1)+COUNTIF($F$8:F19,F19)-1, IF('AAA Summary'!$L$59=1, RANK(E19,E$8:E$79,1)+COUNTIF($E$8:E19,E19)-1))))</f>
        <v>32</v>
      </c>
      <c r="U19" s="28">
        <f>IF('AAA Summary'!$L$59=4, H19, IF('AAA Summary'!$L$59=3, G19, IF('AAA Summary'!$L$59=2, F19, IF('AAA Summary'!$L$59=1, E19))))</f>
        <v>0.95</v>
      </c>
      <c r="V19">
        <f t="shared" si="7"/>
        <v>20</v>
      </c>
      <c r="W19" s="9">
        <f t="shared" si="8"/>
        <v>71</v>
      </c>
      <c r="X19" s="84" t="s">
        <v>628</v>
      </c>
      <c r="Y19" s="131">
        <v>0.34</v>
      </c>
      <c r="Z19" s="9">
        <v>78</v>
      </c>
      <c r="AA19">
        <v>49</v>
      </c>
      <c r="AB19">
        <v>114</v>
      </c>
      <c r="AC19">
        <f t="shared" si="9"/>
        <v>29</v>
      </c>
      <c r="AD19">
        <f t="shared" si="10"/>
        <v>36</v>
      </c>
      <c r="AE19">
        <v>56</v>
      </c>
      <c r="AF19">
        <v>34</v>
      </c>
      <c r="AG19">
        <v>22.33304</v>
      </c>
      <c r="AH19">
        <v>47.006880000000002</v>
      </c>
      <c r="AI19" s="51">
        <f t="shared" si="11"/>
        <v>11.66696</v>
      </c>
      <c r="AJ19" s="51">
        <f t="shared" si="12"/>
        <v>13.006880000000002</v>
      </c>
      <c r="AK19" s="51">
        <v>80</v>
      </c>
      <c r="AL19" s="135">
        <v>29</v>
      </c>
      <c r="AM19">
        <f>IF('AAA Summary'!$M$28=2, AF19, IF('AAA Summary'!$M$28=1,Z19))</f>
        <v>78</v>
      </c>
      <c r="AN19">
        <f>IF('AAA Summary'!$M$28=2, AI19, IF('AAA Summary'!$M$28=1,AC19))</f>
        <v>29</v>
      </c>
      <c r="AO19">
        <f>IF('AAA Summary'!$M$28=2, AJ19, IF('AAA Summary'!$M$28=1,AD19))</f>
        <v>36</v>
      </c>
      <c r="AP19">
        <f>IF('AAA Summary'!$M$28=2, AK19, IF('AAA Summary'!$M$28=1,AE19))</f>
        <v>56</v>
      </c>
    </row>
    <row r="20" spans="1:42" x14ac:dyDescent="0.25">
      <c r="A20" t="s">
        <v>115</v>
      </c>
      <c r="B20" s="74" t="s">
        <v>116</v>
      </c>
      <c r="C20" s="5">
        <v>19</v>
      </c>
      <c r="D20" s="5">
        <v>5</v>
      </c>
      <c r="E20" s="130">
        <v>0.89</v>
      </c>
      <c r="F20" s="130">
        <v>0.95</v>
      </c>
      <c r="G20" s="130">
        <v>0.89</v>
      </c>
      <c r="H20" s="130">
        <v>0.84</v>
      </c>
      <c r="I20" s="51">
        <f t="shared" si="1"/>
        <v>14</v>
      </c>
      <c r="J20" s="130">
        <v>0.26</v>
      </c>
      <c r="K20" s="130">
        <v>0.74</v>
      </c>
      <c r="L20" s="84" t="s">
        <v>217</v>
      </c>
      <c r="M20" s="84" t="s">
        <v>219</v>
      </c>
      <c r="N20" s="6">
        <v>5.1999999999999998E-2</v>
      </c>
      <c r="O20" t="str">
        <f t="shared" si="2"/>
        <v>RXR</v>
      </c>
      <c r="P20" s="22">
        <f t="shared" si="3"/>
        <v>2</v>
      </c>
      <c r="Q20" s="22">
        <f t="shared" si="4"/>
        <v>1</v>
      </c>
      <c r="R20" s="22">
        <f t="shared" si="5"/>
        <v>2</v>
      </c>
      <c r="S20" s="22">
        <f t="shared" si="6"/>
        <v>2</v>
      </c>
      <c r="T20" s="40">
        <f>IF('AAA Summary'!$L$59=4, RANK(H20,H$8:H$79,1)+COUNTIF($H$8:H20,H20)-1, IF('AAA Summary'!$L$59=3, RANK(G20,G$8:G$79,1)+COUNTIF($G$8:G20,G20)-1, IF('AAA Summary'!$L$59=2, RANK(F20,F$8:F$79,1)+COUNTIF($F$8:F20,F20)-1, IF('AAA Summary'!$L$59=1, RANK(E20,E$8:E$79,1)+COUNTIF($E$8:E20,E20)-1))))</f>
        <v>20</v>
      </c>
      <c r="U20" s="28">
        <f>IF('AAA Summary'!$L$59=4, H20, IF('AAA Summary'!$L$59=3, G20, IF('AAA Summary'!$L$59=2, F20, IF('AAA Summary'!$L$59=1, E20))))</f>
        <v>0.89</v>
      </c>
      <c r="V20">
        <f t="shared" si="7"/>
        <v>64</v>
      </c>
      <c r="W20" s="9">
        <f t="shared" si="8"/>
        <v>26</v>
      </c>
      <c r="X20" s="84" t="s">
        <v>642</v>
      </c>
      <c r="Y20" s="131">
        <v>0.47</v>
      </c>
      <c r="Z20" s="9">
        <v>57</v>
      </c>
      <c r="AA20">
        <v>31</v>
      </c>
      <c r="AB20">
        <v>87</v>
      </c>
      <c r="AC20">
        <f t="shared" si="9"/>
        <v>26</v>
      </c>
      <c r="AD20">
        <f t="shared" si="10"/>
        <v>30</v>
      </c>
      <c r="AE20">
        <v>56</v>
      </c>
      <c r="AF20">
        <v>47</v>
      </c>
      <c r="AG20">
        <v>22.983270000000001</v>
      </c>
      <c r="AH20">
        <v>72.18817</v>
      </c>
      <c r="AI20" s="51">
        <f t="shared" si="11"/>
        <v>24.016729999999999</v>
      </c>
      <c r="AJ20" s="51">
        <f t="shared" si="12"/>
        <v>25.18817</v>
      </c>
      <c r="AK20" s="51">
        <v>80</v>
      </c>
      <c r="AL20" s="135">
        <v>9</v>
      </c>
      <c r="AM20">
        <f>IF('AAA Summary'!$M$28=2, AF20, IF('AAA Summary'!$M$28=1,Z20))</f>
        <v>57</v>
      </c>
      <c r="AN20">
        <f>IF('AAA Summary'!$M$28=2, AI20, IF('AAA Summary'!$M$28=1,AC20))</f>
        <v>26</v>
      </c>
      <c r="AO20">
        <f>IF('AAA Summary'!$M$28=2, AJ20, IF('AAA Summary'!$M$28=1,AD20))</f>
        <v>30</v>
      </c>
      <c r="AP20">
        <f>IF('AAA Summary'!$M$28=2, AK20, IF('AAA Summary'!$M$28=1,AE20))</f>
        <v>56</v>
      </c>
    </row>
    <row r="21" spans="1:42" x14ac:dyDescent="0.25">
      <c r="A21" t="s">
        <v>24</v>
      </c>
      <c r="B21" s="74" t="s">
        <v>160</v>
      </c>
      <c r="C21" s="5">
        <v>58</v>
      </c>
      <c r="D21" s="5">
        <v>47</v>
      </c>
      <c r="E21" s="130">
        <v>0.97</v>
      </c>
      <c r="F21" s="130">
        <v>1</v>
      </c>
      <c r="G21" s="130">
        <v>0.98</v>
      </c>
      <c r="H21" s="130">
        <v>1</v>
      </c>
      <c r="I21" s="51">
        <f t="shared" si="1"/>
        <v>11</v>
      </c>
      <c r="J21" s="130">
        <v>0.81</v>
      </c>
      <c r="K21" s="130">
        <v>0.19</v>
      </c>
      <c r="L21" s="84" t="s">
        <v>193</v>
      </c>
      <c r="M21" s="84" t="s">
        <v>588</v>
      </c>
      <c r="N21" s="6">
        <v>1.2E-2</v>
      </c>
      <c r="O21" t="str">
        <f t="shared" si="2"/>
        <v>RDE</v>
      </c>
      <c r="P21" s="22">
        <f t="shared" si="3"/>
        <v>3</v>
      </c>
      <c r="Q21" s="22">
        <f t="shared" si="4"/>
        <v>4</v>
      </c>
      <c r="R21" s="22">
        <f t="shared" si="5"/>
        <v>3</v>
      </c>
      <c r="S21" s="22">
        <f t="shared" si="6"/>
        <v>4</v>
      </c>
      <c r="T21" s="40">
        <f>IF('AAA Summary'!$L$59=4, RANK(H21,H$8:H$79,1)+COUNTIF($H$8:H21,H21)-1, IF('AAA Summary'!$L$59=3, RANK(G21,G$8:G$79,1)+COUNTIF($G$8:G21,G21)-1, IF('AAA Summary'!$L$59=2, RANK(F21,F$8:F$79,1)+COUNTIF($F$8:F21,F21)-1, IF('AAA Summary'!$L$59=1, RANK(E21,E$8:E$79,1)+COUNTIF($E$8:E21,E21)-1))))</f>
        <v>43</v>
      </c>
      <c r="U21" s="28">
        <f>IF('AAA Summary'!$L$59=4, H21, IF('AAA Summary'!$L$59=3, G21, IF('AAA Summary'!$L$59=2, F21, IF('AAA Summary'!$L$59=1, E21))))</f>
        <v>0.97</v>
      </c>
      <c r="V21">
        <f t="shared" si="7"/>
        <v>12</v>
      </c>
      <c r="W21" s="9">
        <f t="shared" si="8"/>
        <v>81</v>
      </c>
      <c r="X21" s="84" t="s">
        <v>587</v>
      </c>
      <c r="Y21" s="131">
        <v>0.48</v>
      </c>
      <c r="Z21" s="9">
        <v>60</v>
      </c>
      <c r="AA21">
        <v>35</v>
      </c>
      <c r="AB21">
        <v>110</v>
      </c>
      <c r="AC21">
        <f t="shared" si="9"/>
        <v>25</v>
      </c>
      <c r="AD21">
        <f t="shared" si="10"/>
        <v>50</v>
      </c>
      <c r="AE21">
        <v>56</v>
      </c>
      <c r="AF21">
        <v>48</v>
      </c>
      <c r="AG21">
        <v>34.65549</v>
      </c>
      <c r="AH21">
        <v>61.968420000000002</v>
      </c>
      <c r="AI21" s="51">
        <f t="shared" si="11"/>
        <v>13.34451</v>
      </c>
      <c r="AJ21" s="51">
        <f t="shared" si="12"/>
        <v>13.968420000000002</v>
      </c>
      <c r="AK21" s="51">
        <v>80</v>
      </c>
      <c r="AL21" s="135">
        <v>12</v>
      </c>
      <c r="AM21">
        <f>IF('AAA Summary'!$M$28=2, AF21, IF('AAA Summary'!$M$28=1,Z21))</f>
        <v>60</v>
      </c>
      <c r="AN21">
        <f>IF('AAA Summary'!$M$28=2, AI21, IF('AAA Summary'!$M$28=1,AC21))</f>
        <v>25</v>
      </c>
      <c r="AO21">
        <f>IF('AAA Summary'!$M$28=2, AJ21, IF('AAA Summary'!$M$28=1,AD21))</f>
        <v>50</v>
      </c>
      <c r="AP21">
        <f>IF('AAA Summary'!$M$28=2, AK21, IF('AAA Summary'!$M$28=1,AE21))</f>
        <v>56</v>
      </c>
    </row>
    <row r="22" spans="1:42" x14ac:dyDescent="0.25">
      <c r="A22" t="s">
        <v>25</v>
      </c>
      <c r="B22" s="74" t="s">
        <v>26</v>
      </c>
      <c r="C22" s="5">
        <v>44</v>
      </c>
      <c r="D22" s="5">
        <v>30</v>
      </c>
      <c r="E22" s="130">
        <v>0.93</v>
      </c>
      <c r="F22" s="130">
        <v>0.98</v>
      </c>
      <c r="G22" s="130">
        <v>0.93</v>
      </c>
      <c r="H22" s="130">
        <v>0.82</v>
      </c>
      <c r="I22" s="51">
        <f t="shared" si="1"/>
        <v>14</v>
      </c>
      <c r="J22" s="130">
        <v>0.68</v>
      </c>
      <c r="K22" s="130">
        <v>0.32</v>
      </c>
      <c r="L22" s="84" t="s">
        <v>427</v>
      </c>
      <c r="M22" s="84" t="s">
        <v>170</v>
      </c>
      <c r="N22" s="6">
        <v>0.02</v>
      </c>
      <c r="O22" t="str">
        <f t="shared" si="2"/>
        <v>RDU</v>
      </c>
      <c r="P22" s="22">
        <f t="shared" si="3"/>
        <v>2</v>
      </c>
      <c r="Q22" s="22">
        <f t="shared" si="4"/>
        <v>2</v>
      </c>
      <c r="R22" s="22">
        <f t="shared" si="5"/>
        <v>2</v>
      </c>
      <c r="S22" s="22">
        <f t="shared" si="6"/>
        <v>2</v>
      </c>
      <c r="T22" s="40">
        <f>IF('AAA Summary'!$L$59=4, RANK(H22,H$8:H$79,1)+COUNTIF($H$8:H22,H22)-1, IF('AAA Summary'!$L$59=3, RANK(G22,G$8:G$79,1)+COUNTIF($G$8:G22,G22)-1, IF('AAA Summary'!$L$59=2, RANK(F22,F$8:F$79,1)+COUNTIF($F$8:F22,F22)-1, IF('AAA Summary'!$L$59=1, RANK(E22,E$8:E$79,1)+COUNTIF($E$8:E22,E22)-1))))</f>
        <v>27</v>
      </c>
      <c r="U22" s="28">
        <f>IF('AAA Summary'!$L$59=4, H22, IF('AAA Summary'!$L$59=3, G22, IF('AAA Summary'!$L$59=2, F22, IF('AAA Summary'!$L$59=1, E22))))</f>
        <v>0.93</v>
      </c>
      <c r="V22">
        <f t="shared" si="7"/>
        <v>22</v>
      </c>
      <c r="W22" s="9">
        <f t="shared" si="8"/>
        <v>68</v>
      </c>
      <c r="X22" s="84" t="s">
        <v>589</v>
      </c>
      <c r="Y22" s="131">
        <v>0.37</v>
      </c>
      <c r="Z22" s="9">
        <v>98</v>
      </c>
      <c r="AA22">
        <v>34</v>
      </c>
      <c r="AB22">
        <v>171</v>
      </c>
      <c r="AC22">
        <f t="shared" si="9"/>
        <v>64</v>
      </c>
      <c r="AD22">
        <f t="shared" si="10"/>
        <v>73</v>
      </c>
      <c r="AE22">
        <v>56</v>
      </c>
      <c r="AF22">
        <v>37</v>
      </c>
      <c r="AG22">
        <v>22.122790000000002</v>
      </c>
      <c r="AH22">
        <v>53.063740000000003</v>
      </c>
      <c r="AI22" s="51">
        <f t="shared" si="11"/>
        <v>14.877209999999998</v>
      </c>
      <c r="AJ22" s="51">
        <f t="shared" si="12"/>
        <v>16.063740000000003</v>
      </c>
      <c r="AK22" s="51">
        <v>80</v>
      </c>
      <c r="AL22" s="135">
        <v>41</v>
      </c>
      <c r="AM22">
        <f>IF('AAA Summary'!$M$28=2, AF22, IF('AAA Summary'!$M$28=1,Z22))</f>
        <v>98</v>
      </c>
      <c r="AN22">
        <f>IF('AAA Summary'!$M$28=2, AI22, IF('AAA Summary'!$M$28=1,AC22))</f>
        <v>64</v>
      </c>
      <c r="AO22">
        <f>IF('AAA Summary'!$M$28=2, AJ22, IF('AAA Summary'!$M$28=1,AD22))</f>
        <v>73</v>
      </c>
      <c r="AP22">
        <f>IF('AAA Summary'!$M$28=2, AK22, IF('AAA Summary'!$M$28=1,AE22))</f>
        <v>56</v>
      </c>
    </row>
    <row r="23" spans="1:42" x14ac:dyDescent="0.25">
      <c r="A23" t="s">
        <v>85</v>
      </c>
      <c r="B23" s="74" t="s">
        <v>86</v>
      </c>
      <c r="C23" s="5">
        <v>62</v>
      </c>
      <c r="D23" s="5">
        <v>31</v>
      </c>
      <c r="E23" s="130">
        <v>0.97</v>
      </c>
      <c r="F23" s="130">
        <v>0.98</v>
      </c>
      <c r="G23" s="130">
        <v>0.98</v>
      </c>
      <c r="H23" s="130">
        <v>0.82</v>
      </c>
      <c r="I23" s="51">
        <f t="shared" si="1"/>
        <v>31</v>
      </c>
      <c r="J23" s="130">
        <v>0.5</v>
      </c>
      <c r="K23" s="130">
        <v>0.5</v>
      </c>
      <c r="L23" s="84" t="s">
        <v>189</v>
      </c>
      <c r="M23" s="84" t="s">
        <v>622</v>
      </c>
      <c r="N23" s="6">
        <v>1.6E-2</v>
      </c>
      <c r="O23" t="str">
        <f t="shared" si="2"/>
        <v>RTE</v>
      </c>
      <c r="P23" s="22">
        <f t="shared" si="3"/>
        <v>3</v>
      </c>
      <c r="Q23" s="22">
        <f t="shared" si="4"/>
        <v>2</v>
      </c>
      <c r="R23" s="22">
        <f t="shared" si="5"/>
        <v>3</v>
      </c>
      <c r="S23" s="22">
        <f t="shared" si="6"/>
        <v>2</v>
      </c>
      <c r="T23" s="40">
        <f>IF('AAA Summary'!$L$59=4, RANK(H23,H$8:H$79,1)+COUNTIF($H$8:H23,H23)-1, IF('AAA Summary'!$L$59=3, RANK(G23,G$8:G$79,1)+COUNTIF($G$8:G23,G23)-1, IF('AAA Summary'!$L$59=2, RANK(F23,F$8:F$79,1)+COUNTIF($F$8:F23,F23)-1, IF('AAA Summary'!$L$59=1, RANK(E23,E$8:E$79,1)+COUNTIF($E$8:E23,E23)-1))))</f>
        <v>44</v>
      </c>
      <c r="U23" s="28">
        <f>IF('AAA Summary'!$L$59=4, H23, IF('AAA Summary'!$L$59=3, G23, IF('AAA Summary'!$L$59=2, F23, IF('AAA Summary'!$L$59=1, E23))))</f>
        <v>0.97</v>
      </c>
      <c r="V23">
        <f t="shared" si="7"/>
        <v>42</v>
      </c>
      <c r="W23" s="9">
        <f t="shared" si="8"/>
        <v>50</v>
      </c>
      <c r="X23" s="84" t="s">
        <v>621</v>
      </c>
      <c r="Y23" s="131">
        <v>0.4</v>
      </c>
      <c r="Z23" s="9">
        <v>77</v>
      </c>
      <c r="AA23">
        <v>32</v>
      </c>
      <c r="AB23">
        <v>122</v>
      </c>
      <c r="AC23">
        <f t="shared" si="9"/>
        <v>45</v>
      </c>
      <c r="AD23">
        <f t="shared" si="10"/>
        <v>45</v>
      </c>
      <c r="AE23">
        <v>56</v>
      </c>
      <c r="AF23">
        <v>40</v>
      </c>
      <c r="AG23">
        <v>27.562160000000002</v>
      </c>
      <c r="AH23">
        <v>53.459449999999997</v>
      </c>
      <c r="AI23" s="51">
        <f t="shared" si="11"/>
        <v>12.437839999999998</v>
      </c>
      <c r="AJ23" s="51">
        <f t="shared" si="12"/>
        <v>13.459449999999997</v>
      </c>
      <c r="AK23" s="51">
        <v>80</v>
      </c>
      <c r="AL23" s="135">
        <v>26</v>
      </c>
      <c r="AM23">
        <f>IF('AAA Summary'!$M$28=2, AF23, IF('AAA Summary'!$M$28=1,Z23))</f>
        <v>77</v>
      </c>
      <c r="AN23">
        <f>IF('AAA Summary'!$M$28=2, AI23, IF('AAA Summary'!$M$28=1,AC23))</f>
        <v>45</v>
      </c>
      <c r="AO23">
        <f>IF('AAA Summary'!$M$28=2, AJ23, IF('AAA Summary'!$M$28=1,AD23))</f>
        <v>45</v>
      </c>
      <c r="AP23">
        <f>IF('AAA Summary'!$M$28=2, AK23, IF('AAA Summary'!$M$28=1,AE23))</f>
        <v>56</v>
      </c>
    </row>
    <row r="24" spans="1:42" x14ac:dyDescent="0.25">
      <c r="A24" t="s">
        <v>45</v>
      </c>
      <c r="B24" s="74" t="s">
        <v>46</v>
      </c>
      <c r="C24" s="5">
        <v>69</v>
      </c>
      <c r="D24" s="5">
        <v>43</v>
      </c>
      <c r="E24" s="130">
        <v>0.94</v>
      </c>
      <c r="F24" s="130">
        <v>0.99</v>
      </c>
      <c r="G24" s="130">
        <v>0.95</v>
      </c>
      <c r="H24" s="130">
        <v>0.93</v>
      </c>
      <c r="I24" s="51">
        <f t="shared" si="1"/>
        <v>26</v>
      </c>
      <c r="J24" s="130">
        <v>0.62</v>
      </c>
      <c r="K24" s="130">
        <v>0.38</v>
      </c>
      <c r="L24" s="84" t="s">
        <v>171</v>
      </c>
      <c r="M24" s="84" t="s">
        <v>315</v>
      </c>
      <c r="N24" s="6">
        <v>0</v>
      </c>
      <c r="O24" t="str">
        <f t="shared" si="2"/>
        <v>RJ1</v>
      </c>
      <c r="P24" s="22">
        <f t="shared" si="3"/>
        <v>2</v>
      </c>
      <c r="Q24" s="22">
        <f t="shared" si="4"/>
        <v>3</v>
      </c>
      <c r="R24" s="22">
        <f t="shared" si="5"/>
        <v>3</v>
      </c>
      <c r="S24" s="22">
        <f t="shared" si="6"/>
        <v>3</v>
      </c>
      <c r="T24" s="40">
        <f>IF('AAA Summary'!$L$59=4, RANK(H24,H$8:H$79,1)+COUNTIF($H$8:H24,H24)-1, IF('AAA Summary'!$L$59=3, RANK(G24,G$8:G$79,1)+COUNTIF($G$8:G24,G24)-1, IF('AAA Summary'!$L$59=2, RANK(F24,F$8:F$79,1)+COUNTIF($F$8:F24,F24)-1, IF('AAA Summary'!$L$59=1, RANK(E24,E$8:E$79,1)+COUNTIF($E$8:E24,E24)-1))))</f>
        <v>30</v>
      </c>
      <c r="U24" s="28">
        <f>IF('AAA Summary'!$L$59=4, H24, IF('AAA Summary'!$L$59=3, G24, IF('AAA Summary'!$L$59=2, F24, IF('AAA Summary'!$L$59=1, E24))))</f>
        <v>0.94</v>
      </c>
      <c r="V24">
        <f t="shared" si="7"/>
        <v>31</v>
      </c>
      <c r="W24" s="9">
        <f t="shared" si="8"/>
        <v>62</v>
      </c>
      <c r="X24" s="84" t="s">
        <v>601</v>
      </c>
      <c r="Y24" s="131">
        <v>0.14000000000000001</v>
      </c>
      <c r="Z24" s="9">
        <v>111</v>
      </c>
      <c r="AA24">
        <v>70</v>
      </c>
      <c r="AB24">
        <v>156</v>
      </c>
      <c r="AC24">
        <f t="shared" si="9"/>
        <v>41</v>
      </c>
      <c r="AD24">
        <f t="shared" si="10"/>
        <v>45</v>
      </c>
      <c r="AE24">
        <v>56</v>
      </c>
      <c r="AF24">
        <v>14.000000000000002</v>
      </c>
      <c r="AG24">
        <v>6.5319600000000007</v>
      </c>
      <c r="AH24">
        <v>24.663830000000001</v>
      </c>
      <c r="AI24" s="51">
        <f t="shared" si="11"/>
        <v>7.4680400000000011</v>
      </c>
      <c r="AJ24" s="51">
        <f t="shared" si="12"/>
        <v>10.663829999999999</v>
      </c>
      <c r="AK24" s="51">
        <v>80</v>
      </c>
      <c r="AL24" s="135">
        <v>49</v>
      </c>
      <c r="AM24">
        <f>IF('AAA Summary'!$M$28=2, AF24, IF('AAA Summary'!$M$28=1,Z24))</f>
        <v>111</v>
      </c>
      <c r="AN24">
        <f>IF('AAA Summary'!$M$28=2, AI24, IF('AAA Summary'!$M$28=1,AC24))</f>
        <v>41</v>
      </c>
      <c r="AO24">
        <f>IF('AAA Summary'!$M$28=2, AJ24, IF('AAA Summary'!$M$28=1,AD24))</f>
        <v>45</v>
      </c>
      <c r="AP24">
        <f>IF('AAA Summary'!$M$28=2, AK24, IF('AAA Summary'!$M$28=1,AE24))</f>
        <v>56</v>
      </c>
    </row>
    <row r="25" spans="1:42" x14ac:dyDescent="0.25">
      <c r="A25" t="s">
        <v>96</v>
      </c>
      <c r="B25" s="74" t="s">
        <v>294</v>
      </c>
      <c r="C25" s="5">
        <v>32</v>
      </c>
      <c r="D25" s="5">
        <v>14</v>
      </c>
      <c r="E25" s="130">
        <v>1</v>
      </c>
      <c r="F25" s="130">
        <v>0.03</v>
      </c>
      <c r="G25" s="130">
        <v>1</v>
      </c>
      <c r="H25" s="130">
        <v>0.97</v>
      </c>
      <c r="I25" s="51">
        <f t="shared" si="1"/>
        <v>18</v>
      </c>
      <c r="J25" s="130">
        <v>0.44</v>
      </c>
      <c r="K25" s="130">
        <v>0.56000000000000005</v>
      </c>
      <c r="L25" s="84" t="s">
        <v>631</v>
      </c>
      <c r="M25" s="84" t="s">
        <v>204</v>
      </c>
      <c r="N25" s="6">
        <v>8.9999999999999993E-3</v>
      </c>
      <c r="O25" t="str">
        <f t="shared" si="2"/>
        <v>RWA</v>
      </c>
      <c r="P25" s="22">
        <f t="shared" si="3"/>
        <v>4</v>
      </c>
      <c r="Q25" s="22">
        <f t="shared" si="4"/>
        <v>1</v>
      </c>
      <c r="R25" s="22">
        <f t="shared" si="5"/>
        <v>4</v>
      </c>
      <c r="S25" s="22">
        <f t="shared" si="6"/>
        <v>4</v>
      </c>
      <c r="T25" s="40">
        <f>IF('AAA Summary'!$L$59=4, RANK(H25,H$8:H$79,1)+COUNTIF($H$8:H25,H25)-1, IF('AAA Summary'!$L$59=3, RANK(G25,G$8:G$79,1)+COUNTIF($G$8:G25,G25)-1, IF('AAA Summary'!$L$59=2, RANK(F25,F$8:F$79,1)+COUNTIF($F$8:F25,F25)-1, IF('AAA Summary'!$L$59=1, RANK(E25,E$8:E$79,1)+COUNTIF($E$8:E25,E25)-1))))</f>
        <v>56</v>
      </c>
      <c r="U25" s="28">
        <f>IF('AAA Summary'!$L$59=4, H25, IF('AAA Summary'!$L$59=3, G25, IF('AAA Summary'!$L$59=2, F25, IF('AAA Summary'!$L$59=1, E25))))</f>
        <v>1</v>
      </c>
      <c r="V25">
        <f t="shared" si="7"/>
        <v>53</v>
      </c>
      <c r="W25" s="9">
        <f t="shared" si="8"/>
        <v>44</v>
      </c>
      <c r="X25" s="84" t="s">
        <v>630</v>
      </c>
      <c r="Y25" s="131">
        <v>0.25</v>
      </c>
      <c r="Z25" s="9">
        <v>90</v>
      </c>
      <c r="AA25">
        <v>58</v>
      </c>
      <c r="AB25">
        <v>116</v>
      </c>
      <c r="AC25">
        <f t="shared" si="9"/>
        <v>32</v>
      </c>
      <c r="AD25">
        <f t="shared" si="10"/>
        <v>26</v>
      </c>
      <c r="AE25">
        <v>56</v>
      </c>
      <c r="AF25">
        <v>25</v>
      </c>
      <c r="AG25">
        <v>11.461599999999999</v>
      </c>
      <c r="AH25">
        <v>43.404939999999996</v>
      </c>
      <c r="AI25" s="51">
        <f t="shared" si="11"/>
        <v>13.538400000000001</v>
      </c>
      <c r="AJ25" s="51">
        <f t="shared" si="12"/>
        <v>18.404939999999996</v>
      </c>
      <c r="AK25" s="51">
        <v>80</v>
      </c>
      <c r="AL25" s="135">
        <v>36</v>
      </c>
      <c r="AM25">
        <f>IF('AAA Summary'!$M$28=2, AF25, IF('AAA Summary'!$M$28=1,Z25))</f>
        <v>90</v>
      </c>
      <c r="AN25">
        <f>IF('AAA Summary'!$M$28=2, AI25, IF('AAA Summary'!$M$28=1,AC25))</f>
        <v>32</v>
      </c>
      <c r="AO25">
        <f>IF('AAA Summary'!$M$28=2, AJ25, IF('AAA Summary'!$M$28=1,AD25))</f>
        <v>26</v>
      </c>
      <c r="AP25">
        <f>IF('AAA Summary'!$M$28=2, AK25, IF('AAA Summary'!$M$28=1,AE25))</f>
        <v>56</v>
      </c>
    </row>
    <row r="26" spans="1:42" x14ac:dyDescent="0.25">
      <c r="A26" t="s">
        <v>119</v>
      </c>
      <c r="B26" s="74" t="s">
        <v>120</v>
      </c>
      <c r="C26" s="5">
        <v>45</v>
      </c>
      <c r="D26" s="5">
        <v>30</v>
      </c>
      <c r="E26" s="130">
        <v>0.78</v>
      </c>
      <c r="F26" s="130">
        <v>0.96</v>
      </c>
      <c r="G26" s="130">
        <v>0.77</v>
      </c>
      <c r="H26" s="130">
        <v>0.87</v>
      </c>
      <c r="I26" s="51">
        <f t="shared" si="1"/>
        <v>15</v>
      </c>
      <c r="J26" s="130">
        <v>0.67</v>
      </c>
      <c r="K26" s="130">
        <v>0.33</v>
      </c>
      <c r="L26" s="84" t="s">
        <v>645</v>
      </c>
      <c r="M26" s="84" t="s">
        <v>646</v>
      </c>
      <c r="N26" s="6">
        <v>0</v>
      </c>
      <c r="O26" t="str">
        <f t="shared" si="2"/>
        <v>RYJ</v>
      </c>
      <c r="P26" s="22">
        <f t="shared" si="3"/>
        <v>1</v>
      </c>
      <c r="Q26" s="22">
        <f t="shared" si="4"/>
        <v>1</v>
      </c>
      <c r="R26" s="22">
        <f t="shared" si="5"/>
        <v>1</v>
      </c>
      <c r="S26" s="22">
        <f t="shared" si="6"/>
        <v>2</v>
      </c>
      <c r="T26" s="40">
        <f>IF('AAA Summary'!$L$59=4, RANK(H26,H$8:H$79,1)+COUNTIF($H$8:H26,H26)-1, IF('AAA Summary'!$L$59=3, RANK(G26,G$8:G$79,1)+COUNTIF($G$8:G26,G26)-1, IF('AAA Summary'!$L$59=2, RANK(F26,F$8:F$79,1)+COUNTIF($F$8:F26,F26)-1, IF('AAA Summary'!$L$59=1, RANK(E26,E$8:E$79,1)+COUNTIF($E$8:E26,E26)-1))))</f>
        <v>8</v>
      </c>
      <c r="U26" s="28">
        <f>IF('AAA Summary'!$L$59=4, H26, IF('AAA Summary'!$L$59=3, G26, IF('AAA Summary'!$L$59=2, F26, IF('AAA Summary'!$L$59=1, E26))))</f>
        <v>0.78</v>
      </c>
      <c r="V26">
        <f t="shared" si="7"/>
        <v>23</v>
      </c>
      <c r="W26" s="9">
        <f t="shared" si="8"/>
        <v>67</v>
      </c>
      <c r="X26" s="84" t="s">
        <v>644</v>
      </c>
      <c r="Y26" s="131">
        <v>0.26</v>
      </c>
      <c r="Z26" s="9">
        <v>92</v>
      </c>
      <c r="AA26">
        <v>53</v>
      </c>
      <c r="AB26">
        <v>122</v>
      </c>
      <c r="AC26">
        <f t="shared" si="9"/>
        <v>39</v>
      </c>
      <c r="AD26">
        <f t="shared" si="10"/>
        <v>30</v>
      </c>
      <c r="AE26">
        <v>56</v>
      </c>
      <c r="AF26">
        <v>26</v>
      </c>
      <c r="AG26">
        <v>12.4894</v>
      </c>
      <c r="AH26">
        <v>43.255890000000001</v>
      </c>
      <c r="AI26" s="51">
        <f t="shared" si="11"/>
        <v>13.5106</v>
      </c>
      <c r="AJ26" s="51">
        <f t="shared" si="12"/>
        <v>17.255890000000001</v>
      </c>
      <c r="AK26" s="51">
        <v>80</v>
      </c>
      <c r="AL26" s="135">
        <v>38</v>
      </c>
      <c r="AM26">
        <f>IF('AAA Summary'!$M$28=2, AF26, IF('AAA Summary'!$M$28=1,Z26))</f>
        <v>92</v>
      </c>
      <c r="AN26">
        <f>IF('AAA Summary'!$M$28=2, AI26, IF('AAA Summary'!$M$28=1,AC26))</f>
        <v>39</v>
      </c>
      <c r="AO26">
        <f>IF('AAA Summary'!$M$28=2, AJ26, IF('AAA Summary'!$M$28=1,AD26))</f>
        <v>30</v>
      </c>
      <c r="AP26">
        <f>IF('AAA Summary'!$M$28=2, AK26, IF('AAA Summary'!$M$28=1,AE26))</f>
        <v>56</v>
      </c>
    </row>
    <row r="27" spans="1:42" x14ac:dyDescent="0.25">
      <c r="A27" t="s">
        <v>53</v>
      </c>
      <c r="B27" s="74" t="s">
        <v>54</v>
      </c>
      <c r="C27" s="5">
        <v>6</v>
      </c>
      <c r="D27" s="5">
        <v>6</v>
      </c>
      <c r="E27" s="130">
        <v>0.83</v>
      </c>
      <c r="F27" s="130">
        <v>1</v>
      </c>
      <c r="G27" s="130">
        <v>0.8</v>
      </c>
      <c r="H27" s="130">
        <v>1</v>
      </c>
      <c r="I27" s="51">
        <f t="shared" si="1"/>
        <v>0</v>
      </c>
      <c r="J27" s="130">
        <v>1</v>
      </c>
      <c r="K27" s="130">
        <v>0</v>
      </c>
      <c r="L27" s="84" t="s">
        <v>275</v>
      </c>
      <c r="M27" s="84" t="s">
        <v>220</v>
      </c>
      <c r="N27" s="6">
        <v>0</v>
      </c>
      <c r="O27" t="str">
        <f t="shared" si="2"/>
        <v>RJZ</v>
      </c>
      <c r="P27" s="22">
        <f t="shared" si="3"/>
        <v>1</v>
      </c>
      <c r="Q27" s="22">
        <f t="shared" si="4"/>
        <v>4</v>
      </c>
      <c r="R27" s="22">
        <f t="shared" si="5"/>
        <v>1</v>
      </c>
      <c r="S27" s="22">
        <f t="shared" si="6"/>
        <v>4</v>
      </c>
      <c r="T27" s="40">
        <f>IF('AAA Summary'!$L$59=4, RANK(H27,H$8:H$79,1)+COUNTIF($H$8:H27,H27)-1, IF('AAA Summary'!$L$59=3, RANK(G27,G$8:G$79,1)+COUNTIF($G$8:G27,G27)-1, IF('AAA Summary'!$L$59=2, RANK(F27,F$8:F$79,1)+COUNTIF($F$8:F27,F27)-1, IF('AAA Summary'!$L$59=1, RANK(E27,E$8:E$79,1)+COUNTIF($E$8:E27,E27)-1))))</f>
        <v>10</v>
      </c>
      <c r="U27" s="28">
        <f>IF('AAA Summary'!$L$59=4, H27, IF('AAA Summary'!$L$59=3, G27, IF('AAA Summary'!$L$59=2, F27, IF('AAA Summary'!$L$59=1, E27))))</f>
        <v>0.83</v>
      </c>
      <c r="V27">
        <f t="shared" si="7"/>
        <v>1</v>
      </c>
      <c r="W27" s="9">
        <f t="shared" si="8"/>
        <v>100</v>
      </c>
      <c r="X27" s="84" t="s">
        <v>227</v>
      </c>
      <c r="Y27" s="131" t="s">
        <v>227</v>
      </c>
      <c r="Z27" s="135" t="e">
        <v>#N/A</v>
      </c>
      <c r="AA27" s="135" t="e">
        <v>#N/A</v>
      </c>
      <c r="AB27" s="135" t="e">
        <v>#N/A</v>
      </c>
      <c r="AC27" s="135" t="e">
        <v>#N/A</v>
      </c>
      <c r="AD27" s="135" t="e">
        <v>#N/A</v>
      </c>
      <c r="AE27">
        <v>56</v>
      </c>
      <c r="AF27" s="135" t="e">
        <v>#N/A</v>
      </c>
      <c r="AG27" t="e">
        <v>#N/A</v>
      </c>
      <c r="AH27" t="e">
        <v>#N/A</v>
      </c>
      <c r="AI27" s="51" t="e">
        <f t="shared" ref="AI27" si="13">AF27-AG27</f>
        <v>#N/A</v>
      </c>
      <c r="AJ27" s="51" t="e">
        <f t="shared" ref="AJ27" si="14">AH27-AF27</f>
        <v>#N/A</v>
      </c>
      <c r="AK27" s="51">
        <v>80</v>
      </c>
      <c r="AL27" s="135" t="e">
        <v>#N/A</v>
      </c>
      <c r="AM27" t="e">
        <f>IF('AAA Summary'!$M$28=2, AF27, IF('AAA Summary'!$M$28=1,Z27))</f>
        <v>#N/A</v>
      </c>
      <c r="AN27" t="e">
        <f>IF('AAA Summary'!$M$28=2, AI27, IF('AAA Summary'!$M$28=1,AC27))</f>
        <v>#N/A</v>
      </c>
      <c r="AO27" t="e">
        <f>IF('AAA Summary'!$M$28=2, AJ27, IF('AAA Summary'!$M$28=1,AD27))</f>
        <v>#N/A</v>
      </c>
      <c r="AP27">
        <f>IF('AAA Summary'!$M$28=2, AK27, IF('AAA Summary'!$M$28=1,AE27))</f>
        <v>56</v>
      </c>
    </row>
    <row r="28" spans="1:42" x14ac:dyDescent="0.25">
      <c r="A28" t="s">
        <v>113</v>
      </c>
      <c r="B28" s="74" t="s">
        <v>114</v>
      </c>
      <c r="C28" s="5">
        <v>83</v>
      </c>
      <c r="D28" s="5">
        <v>54</v>
      </c>
      <c r="E28" s="130">
        <v>1</v>
      </c>
      <c r="F28" s="130">
        <v>0.96</v>
      </c>
      <c r="G28" s="130">
        <v>1</v>
      </c>
      <c r="H28" s="130">
        <v>1</v>
      </c>
      <c r="I28" s="51">
        <f t="shared" si="1"/>
        <v>29</v>
      </c>
      <c r="J28" s="130">
        <v>0.65</v>
      </c>
      <c r="K28" s="130">
        <v>0.35</v>
      </c>
      <c r="L28" s="84" t="s">
        <v>202</v>
      </c>
      <c r="M28" s="84" t="s">
        <v>591</v>
      </c>
      <c r="N28" s="6">
        <v>1.6E-2</v>
      </c>
      <c r="O28" t="str">
        <f t="shared" si="2"/>
        <v>RXN</v>
      </c>
      <c r="P28" s="22">
        <f t="shared" si="3"/>
        <v>4</v>
      </c>
      <c r="Q28" s="22">
        <f t="shared" si="4"/>
        <v>1</v>
      </c>
      <c r="R28" s="22">
        <f t="shared" si="5"/>
        <v>4</v>
      </c>
      <c r="S28" s="22">
        <f t="shared" si="6"/>
        <v>4</v>
      </c>
      <c r="T28" s="40">
        <f>IF('AAA Summary'!$L$59=4, RANK(H28,H$8:H$79,1)+COUNTIF($H$8:H28,H28)-1, IF('AAA Summary'!$L$59=3, RANK(G28,G$8:G$79,1)+COUNTIF($G$8:G28,G28)-1, IF('AAA Summary'!$L$59=2, RANK(F28,F$8:F$79,1)+COUNTIF($F$8:F28,F28)-1, IF('AAA Summary'!$L$59=1, RANK(E28,E$8:E$79,1)+COUNTIF($E$8:E28,E28)-1))))</f>
        <v>57</v>
      </c>
      <c r="U28" s="28">
        <f>IF('AAA Summary'!$L$59=4, H28, IF('AAA Summary'!$L$59=3, G28, IF('AAA Summary'!$L$59=2, F28, IF('AAA Summary'!$L$59=1, E28))))</f>
        <v>1</v>
      </c>
      <c r="V28">
        <f t="shared" si="7"/>
        <v>25</v>
      </c>
      <c r="W28" s="9">
        <f t="shared" si="8"/>
        <v>65</v>
      </c>
      <c r="X28" s="84" t="s">
        <v>641</v>
      </c>
      <c r="Y28" s="131">
        <v>0.35</v>
      </c>
      <c r="Z28" s="9">
        <v>77</v>
      </c>
      <c r="AA28">
        <v>38</v>
      </c>
      <c r="AB28">
        <v>126</v>
      </c>
      <c r="AC28">
        <f t="shared" si="9"/>
        <v>39</v>
      </c>
      <c r="AD28">
        <f t="shared" si="10"/>
        <v>49</v>
      </c>
      <c r="AE28">
        <v>56</v>
      </c>
      <c r="AF28">
        <v>35</v>
      </c>
      <c r="AG28">
        <v>24.795839999999998</v>
      </c>
      <c r="AH28">
        <v>46.192949999999996</v>
      </c>
      <c r="AI28" s="51">
        <f t="shared" si="11"/>
        <v>10.204160000000002</v>
      </c>
      <c r="AJ28" s="51">
        <f t="shared" si="12"/>
        <v>11.192949999999996</v>
      </c>
      <c r="AK28" s="51">
        <v>80</v>
      </c>
      <c r="AL28" s="135">
        <v>27</v>
      </c>
      <c r="AM28">
        <f>IF('AAA Summary'!$M$28=2, AF28, IF('AAA Summary'!$M$28=1,Z28))</f>
        <v>77</v>
      </c>
      <c r="AN28">
        <f>IF('AAA Summary'!$M$28=2, AI28, IF('AAA Summary'!$M$28=1,AC28))</f>
        <v>39</v>
      </c>
      <c r="AO28">
        <f>IF('AAA Summary'!$M$28=2, AJ28, IF('AAA Summary'!$M$28=1,AD28))</f>
        <v>49</v>
      </c>
      <c r="AP28">
        <f>IF('AAA Summary'!$M$28=2, AK28, IF('AAA Summary'!$M$28=1,AE28))</f>
        <v>56</v>
      </c>
    </row>
    <row r="29" spans="1:42" x14ac:dyDescent="0.25">
      <c r="A29" t="s">
        <v>75</v>
      </c>
      <c r="B29" s="74" t="s">
        <v>76</v>
      </c>
      <c r="C29" s="5">
        <v>39</v>
      </c>
      <c r="D29" s="5">
        <v>17</v>
      </c>
      <c r="E29" s="130">
        <v>0.95</v>
      </c>
      <c r="F29" s="130">
        <v>1</v>
      </c>
      <c r="G29" s="130">
        <v>0.95</v>
      </c>
      <c r="H29" s="130">
        <v>0.87</v>
      </c>
      <c r="I29" s="51">
        <f t="shared" si="1"/>
        <v>22</v>
      </c>
      <c r="J29" s="130">
        <v>0.44</v>
      </c>
      <c r="K29" s="130">
        <v>0.56000000000000005</v>
      </c>
      <c r="L29" s="84" t="s">
        <v>186</v>
      </c>
      <c r="M29" s="84" t="s">
        <v>167</v>
      </c>
      <c r="N29" s="6">
        <v>0</v>
      </c>
      <c r="O29" t="str">
        <f t="shared" si="2"/>
        <v>RR8</v>
      </c>
      <c r="P29" s="22">
        <f t="shared" si="3"/>
        <v>3</v>
      </c>
      <c r="Q29" s="22">
        <f t="shared" si="4"/>
        <v>4</v>
      </c>
      <c r="R29" s="22">
        <f t="shared" si="5"/>
        <v>3</v>
      </c>
      <c r="S29" s="22">
        <f t="shared" si="6"/>
        <v>2</v>
      </c>
      <c r="T29" s="40">
        <f>IF('AAA Summary'!$L$59=4, RANK(H29,H$8:H$79,1)+COUNTIF($H$8:H29,H29)-1, IF('AAA Summary'!$L$59=3, RANK(G29,G$8:G$79,1)+COUNTIF($G$8:G29,G29)-1, IF('AAA Summary'!$L$59=2, RANK(F29,F$8:F$79,1)+COUNTIF($F$8:F29,F29)-1, IF('AAA Summary'!$L$59=1, RANK(E29,E$8:E$79,1)+COUNTIF($E$8:E29,E29)-1))))</f>
        <v>33</v>
      </c>
      <c r="U29" s="28">
        <f>IF('AAA Summary'!$L$59=4, H29, IF('AAA Summary'!$L$59=3, G29, IF('AAA Summary'!$L$59=2, F29, IF('AAA Summary'!$L$59=1, E29))))</f>
        <v>0.95</v>
      </c>
      <c r="V29">
        <f t="shared" si="7"/>
        <v>53</v>
      </c>
      <c r="W29" s="9">
        <f t="shared" si="8"/>
        <v>44</v>
      </c>
      <c r="X29" s="84" t="s">
        <v>618</v>
      </c>
      <c r="Y29" s="131">
        <v>0.35</v>
      </c>
      <c r="Z29" s="9">
        <v>69</v>
      </c>
      <c r="AA29">
        <v>42</v>
      </c>
      <c r="AB29">
        <v>146</v>
      </c>
      <c r="AC29">
        <f t="shared" si="9"/>
        <v>27</v>
      </c>
      <c r="AD29">
        <f t="shared" si="10"/>
        <v>77</v>
      </c>
      <c r="AE29">
        <v>56</v>
      </c>
      <c r="AF29">
        <v>35</v>
      </c>
      <c r="AG29">
        <v>20.209979999999998</v>
      </c>
      <c r="AH29">
        <v>52.538870000000003</v>
      </c>
      <c r="AI29" s="51">
        <f t="shared" si="11"/>
        <v>14.790020000000002</v>
      </c>
      <c r="AJ29" s="51">
        <f t="shared" si="12"/>
        <v>17.538870000000003</v>
      </c>
      <c r="AK29" s="51">
        <v>80</v>
      </c>
      <c r="AL29" s="135">
        <v>20</v>
      </c>
      <c r="AM29">
        <f>IF('AAA Summary'!$M$28=2, AF29, IF('AAA Summary'!$M$28=1,Z29))</f>
        <v>69</v>
      </c>
      <c r="AN29">
        <f>IF('AAA Summary'!$M$28=2, AI29, IF('AAA Summary'!$M$28=1,AC29))</f>
        <v>27</v>
      </c>
      <c r="AO29">
        <f>IF('AAA Summary'!$M$28=2, AJ29, IF('AAA Summary'!$M$28=1,AD29))</f>
        <v>77</v>
      </c>
      <c r="AP29">
        <f>IF('AAA Summary'!$M$28=2, AK29, IF('AAA Summary'!$M$28=1,AE29))</f>
        <v>56</v>
      </c>
    </row>
    <row r="30" spans="1:42" x14ac:dyDescent="0.25">
      <c r="A30" t="s">
        <v>340</v>
      </c>
      <c r="B30" s="74" t="s">
        <v>341</v>
      </c>
      <c r="C30" s="5">
        <v>4</v>
      </c>
      <c r="D30" s="5">
        <v>0</v>
      </c>
      <c r="E30" s="130">
        <v>0.5</v>
      </c>
      <c r="F30" s="130">
        <v>1</v>
      </c>
      <c r="G30" s="130">
        <v>0.5</v>
      </c>
      <c r="H30" s="130">
        <v>0.5</v>
      </c>
      <c r="I30" s="51">
        <f t="shared" si="1"/>
        <v>4</v>
      </c>
      <c r="J30" s="130">
        <v>0</v>
      </c>
      <c r="K30" s="130">
        <v>1</v>
      </c>
      <c r="L30" s="84" t="s">
        <v>220</v>
      </c>
      <c r="M30" s="84" t="s">
        <v>227</v>
      </c>
      <c r="N30" s="6">
        <v>0</v>
      </c>
      <c r="O30" t="str">
        <f t="shared" si="2"/>
        <v>RBQ</v>
      </c>
      <c r="P30" s="22">
        <f t="shared" si="3"/>
        <v>1</v>
      </c>
      <c r="Q30" s="22">
        <f t="shared" si="4"/>
        <v>4</v>
      </c>
      <c r="R30" s="22">
        <f t="shared" si="5"/>
        <v>1</v>
      </c>
      <c r="S30" s="22">
        <f t="shared" si="6"/>
        <v>1</v>
      </c>
      <c r="T30" s="40">
        <f>IF('AAA Summary'!$L$59=4, RANK(H30,H$8:H$79,1)+COUNTIF($H$8:H30,H30)-1, IF('AAA Summary'!$L$59=3, RANK(G30,G$8:G$79,1)+COUNTIF($G$8:G30,G30)-1, IF('AAA Summary'!$L$59=2, RANK(F30,F$8:F$79,1)+COUNTIF($F$8:F30,F30)-1, IF('AAA Summary'!$L$59=1, RANK(E30,E$8:E$79,1)+COUNTIF($E$8:E30,E30)-1))))</f>
        <v>1</v>
      </c>
      <c r="U30" s="28">
        <f>IF('AAA Summary'!$L$59=4, H30, IF('AAA Summary'!$L$59=3, G30, IF('AAA Summary'!$L$59=2, F30, IF('AAA Summary'!$L$59=1, E30))))</f>
        <v>0.5</v>
      </c>
      <c r="V30">
        <f t="shared" si="7"/>
        <v>67</v>
      </c>
      <c r="W30" s="9">
        <f t="shared" si="8"/>
        <v>0</v>
      </c>
      <c r="X30" s="84" t="s">
        <v>227</v>
      </c>
      <c r="Y30" s="131" t="s">
        <v>227</v>
      </c>
      <c r="Z30" s="135" t="e">
        <v>#N/A</v>
      </c>
      <c r="AA30" s="135" t="e">
        <v>#N/A</v>
      </c>
      <c r="AB30" s="135" t="e">
        <v>#N/A</v>
      </c>
      <c r="AC30" s="135" t="e">
        <v>#N/A</v>
      </c>
      <c r="AD30" s="135" t="e">
        <v>#N/A</v>
      </c>
      <c r="AE30">
        <v>56</v>
      </c>
      <c r="AF30" s="135" t="e">
        <v>#N/A</v>
      </c>
      <c r="AG30" t="e">
        <v>#N/A</v>
      </c>
      <c r="AH30" t="e">
        <v>#N/A</v>
      </c>
      <c r="AI30" s="51" t="e">
        <f t="shared" ref="AI30" si="15">AF30-AG30</f>
        <v>#N/A</v>
      </c>
      <c r="AJ30" s="51" t="e">
        <f t="shared" ref="AJ30" si="16">AH30-AF30</f>
        <v>#N/A</v>
      </c>
      <c r="AK30" s="51">
        <v>80</v>
      </c>
      <c r="AL30" s="135" t="e">
        <v>#N/A</v>
      </c>
      <c r="AM30" t="e">
        <f>IF('AAA Summary'!$M$28=2, AF30, IF('AAA Summary'!$M$28=1,Z30))</f>
        <v>#N/A</v>
      </c>
      <c r="AN30" t="e">
        <f>IF('AAA Summary'!$M$28=2, AI30, IF('AAA Summary'!$M$28=1,AC30))</f>
        <v>#N/A</v>
      </c>
      <c r="AO30" t="e">
        <f>IF('AAA Summary'!$M$28=2, AJ30, IF('AAA Summary'!$M$28=1,AD30))</f>
        <v>#N/A</v>
      </c>
      <c r="AP30">
        <f>IF('AAA Summary'!$M$28=2, AK30, IF('AAA Summary'!$M$28=1,AE30))</f>
        <v>56</v>
      </c>
    </row>
    <row r="31" spans="1:42" x14ac:dyDescent="0.25">
      <c r="A31" t="s">
        <v>29</v>
      </c>
      <c r="B31" s="74" t="s">
        <v>295</v>
      </c>
      <c r="C31" s="5">
        <v>65</v>
      </c>
      <c r="D31" s="5">
        <v>47</v>
      </c>
      <c r="E31" s="130">
        <v>0.83</v>
      </c>
      <c r="F31" s="130">
        <v>0.98</v>
      </c>
      <c r="G31" s="130">
        <v>0.83</v>
      </c>
      <c r="H31" s="130">
        <v>0.62</v>
      </c>
      <c r="I31" s="51">
        <f t="shared" si="1"/>
        <v>18</v>
      </c>
      <c r="J31" s="130">
        <v>0.72</v>
      </c>
      <c r="K31" s="130">
        <v>0.28000000000000003</v>
      </c>
      <c r="L31" s="84" t="s">
        <v>187</v>
      </c>
      <c r="M31" s="84" t="s">
        <v>270</v>
      </c>
      <c r="N31" s="6">
        <v>1.4999999999999999E-2</v>
      </c>
      <c r="O31" t="str">
        <f t="shared" si="2"/>
        <v>REM</v>
      </c>
      <c r="P31" s="22">
        <f t="shared" si="3"/>
        <v>1</v>
      </c>
      <c r="Q31" s="22">
        <f t="shared" si="4"/>
        <v>2</v>
      </c>
      <c r="R31" s="22">
        <f t="shared" si="5"/>
        <v>1</v>
      </c>
      <c r="S31" s="22">
        <f t="shared" si="6"/>
        <v>1</v>
      </c>
      <c r="T31" s="40">
        <f>IF('AAA Summary'!$L$59=4, RANK(H31,H$8:H$79,1)+COUNTIF($H$8:H31,H31)-1, IF('AAA Summary'!$L$59=3, RANK(G31,G$8:G$79,1)+COUNTIF($G$8:G31,G31)-1, IF('AAA Summary'!$L$59=2, RANK(F31,F$8:F$79,1)+COUNTIF($F$8:F31,F31)-1, IF('AAA Summary'!$L$59=1, RANK(E31,E$8:E$79,1)+COUNTIF($E$8:E31,E31)-1))))</f>
        <v>11</v>
      </c>
      <c r="U31" s="28">
        <f>IF('AAA Summary'!$L$59=4, H31, IF('AAA Summary'!$L$59=3, G31, IF('AAA Summary'!$L$59=2, F31, IF('AAA Summary'!$L$59=1, E31))))</f>
        <v>0.83</v>
      </c>
      <c r="V31">
        <f t="shared" si="7"/>
        <v>18</v>
      </c>
      <c r="W31" s="9">
        <f t="shared" si="8"/>
        <v>72</v>
      </c>
      <c r="X31" s="84" t="s">
        <v>592</v>
      </c>
      <c r="Y31" s="131">
        <v>0.2</v>
      </c>
      <c r="Z31" s="9">
        <v>146</v>
      </c>
      <c r="AA31">
        <v>76</v>
      </c>
      <c r="AB31">
        <v>207</v>
      </c>
      <c r="AC31">
        <f t="shared" si="9"/>
        <v>70</v>
      </c>
      <c r="AD31">
        <f t="shared" si="10"/>
        <v>61</v>
      </c>
      <c r="AE31">
        <v>56</v>
      </c>
      <c r="AF31">
        <v>20</v>
      </c>
      <c r="AG31">
        <v>10.631930000000001</v>
      </c>
      <c r="AH31">
        <v>33.53049</v>
      </c>
      <c r="AI31" s="51">
        <f t="shared" si="11"/>
        <v>9.3680699999999995</v>
      </c>
      <c r="AJ31" s="51">
        <f t="shared" si="12"/>
        <v>13.53049</v>
      </c>
      <c r="AK31" s="51">
        <v>80</v>
      </c>
      <c r="AL31" s="135">
        <v>55</v>
      </c>
      <c r="AM31">
        <f>IF('AAA Summary'!$M$28=2, AF31, IF('AAA Summary'!$M$28=1,Z31))</f>
        <v>146</v>
      </c>
      <c r="AN31">
        <f>IF('AAA Summary'!$M$28=2, AI31, IF('AAA Summary'!$M$28=1,AC31))</f>
        <v>70</v>
      </c>
      <c r="AO31">
        <f>IF('AAA Summary'!$M$28=2, AJ31, IF('AAA Summary'!$M$28=1,AD31))</f>
        <v>61</v>
      </c>
      <c r="AP31">
        <f>IF('AAA Summary'!$M$28=2, AK31, IF('AAA Summary'!$M$28=1,AE31))</f>
        <v>56</v>
      </c>
    </row>
    <row r="32" spans="1:42" x14ac:dyDescent="0.25">
      <c r="A32" t="s">
        <v>8</v>
      </c>
      <c r="B32" s="74" t="s">
        <v>9</v>
      </c>
      <c r="C32" s="5">
        <v>69</v>
      </c>
      <c r="D32" s="5">
        <v>42</v>
      </c>
      <c r="E32" s="130">
        <v>0.97</v>
      </c>
      <c r="F32" s="130">
        <v>0.99</v>
      </c>
      <c r="G32" s="130">
        <v>0.97</v>
      </c>
      <c r="H32" s="130">
        <v>0.93</v>
      </c>
      <c r="I32" s="51">
        <f t="shared" si="1"/>
        <v>27</v>
      </c>
      <c r="J32" s="130">
        <v>0.61</v>
      </c>
      <c r="K32" s="130">
        <v>0.39</v>
      </c>
      <c r="L32" s="84" t="s">
        <v>193</v>
      </c>
      <c r="M32" s="84" t="s">
        <v>191</v>
      </c>
      <c r="N32" s="6">
        <v>5.0000000000000001E-3</v>
      </c>
      <c r="O32" t="str">
        <f t="shared" si="2"/>
        <v>R0A</v>
      </c>
      <c r="P32" s="22">
        <f t="shared" si="3"/>
        <v>3</v>
      </c>
      <c r="Q32" s="22">
        <f t="shared" si="4"/>
        <v>3</v>
      </c>
      <c r="R32" s="22">
        <f t="shared" si="5"/>
        <v>3</v>
      </c>
      <c r="S32" s="22">
        <f t="shared" si="6"/>
        <v>3</v>
      </c>
      <c r="T32" s="40">
        <f>IF('AAA Summary'!$L$59=4, RANK(H32,H$8:H$79,1)+COUNTIF($H$8:H32,H32)-1, IF('AAA Summary'!$L$59=3, RANK(G32,G$8:G$79,1)+COUNTIF($G$8:G32,G32)-1, IF('AAA Summary'!$L$59=2, RANK(F32,F$8:F$79,1)+COUNTIF($F$8:F32,F32)-1, IF('AAA Summary'!$L$59=1, RANK(E32,E$8:E$79,1)+COUNTIF($E$8:E32,E32)-1))))</f>
        <v>45</v>
      </c>
      <c r="U32" s="28">
        <f>IF('AAA Summary'!$L$59=4, H32, IF('AAA Summary'!$L$59=3, G32, IF('AAA Summary'!$L$59=2, F32, IF('AAA Summary'!$L$59=1, E32))))</f>
        <v>0.97</v>
      </c>
      <c r="V32">
        <f t="shared" si="7"/>
        <v>32</v>
      </c>
      <c r="W32" s="9">
        <f t="shared" si="8"/>
        <v>61</v>
      </c>
      <c r="X32" s="84" t="s">
        <v>574</v>
      </c>
      <c r="Y32" s="131">
        <v>0.28000000000000003</v>
      </c>
      <c r="Z32" s="9">
        <v>84</v>
      </c>
      <c r="AA32">
        <v>49</v>
      </c>
      <c r="AB32">
        <v>141</v>
      </c>
      <c r="AC32">
        <f t="shared" si="9"/>
        <v>35</v>
      </c>
      <c r="AD32">
        <f t="shared" si="10"/>
        <v>57</v>
      </c>
      <c r="AE32">
        <v>56</v>
      </c>
      <c r="AF32">
        <v>28.000000000000004</v>
      </c>
      <c r="AG32">
        <v>18.01464</v>
      </c>
      <c r="AH32">
        <v>40.69088</v>
      </c>
      <c r="AI32" s="51">
        <f t="shared" si="11"/>
        <v>9.9853600000000036</v>
      </c>
      <c r="AJ32" s="51">
        <f t="shared" si="12"/>
        <v>12.690879999999996</v>
      </c>
      <c r="AK32" s="51">
        <v>80</v>
      </c>
      <c r="AL32" s="135">
        <v>33</v>
      </c>
      <c r="AM32">
        <f>IF('AAA Summary'!$M$28=2, AF32, IF('AAA Summary'!$M$28=1,Z32))</f>
        <v>84</v>
      </c>
      <c r="AN32">
        <f>IF('AAA Summary'!$M$28=2, AI32, IF('AAA Summary'!$M$28=1,AC32))</f>
        <v>35</v>
      </c>
      <c r="AO32">
        <f>IF('AAA Summary'!$M$28=2, AJ32, IF('AAA Summary'!$M$28=1,AD32))</f>
        <v>57</v>
      </c>
      <c r="AP32">
        <f>IF('AAA Summary'!$M$28=2, AK32, IF('AAA Summary'!$M$28=1,AE32))</f>
        <v>56</v>
      </c>
    </row>
    <row r="33" spans="1:42" x14ac:dyDescent="0.25">
      <c r="A33" t="s">
        <v>17</v>
      </c>
      <c r="B33" s="74" t="s">
        <v>339</v>
      </c>
      <c r="C33" s="5">
        <v>69</v>
      </c>
      <c r="D33" s="5">
        <v>58</v>
      </c>
      <c r="E33" s="130">
        <v>0.96</v>
      </c>
      <c r="F33" s="130">
        <v>0.91</v>
      </c>
      <c r="G33" s="130">
        <v>0.95</v>
      </c>
      <c r="H33" s="130">
        <v>0.93</v>
      </c>
      <c r="I33" s="51">
        <f t="shared" si="1"/>
        <v>11</v>
      </c>
      <c r="J33" s="130">
        <v>0.84</v>
      </c>
      <c r="K33" s="130">
        <v>0.16</v>
      </c>
      <c r="L33" s="84" t="s">
        <v>185</v>
      </c>
      <c r="M33" s="84" t="s">
        <v>580</v>
      </c>
      <c r="N33" s="6">
        <v>2.5999999999999999E-2</v>
      </c>
      <c r="O33" t="str">
        <f t="shared" si="2"/>
        <v>RAJ</v>
      </c>
      <c r="P33" s="22">
        <f t="shared" si="3"/>
        <v>3</v>
      </c>
      <c r="Q33" s="22">
        <f t="shared" si="4"/>
        <v>1</v>
      </c>
      <c r="R33" s="22">
        <f t="shared" si="5"/>
        <v>3</v>
      </c>
      <c r="S33" s="22">
        <f t="shared" si="6"/>
        <v>3</v>
      </c>
      <c r="T33" s="40">
        <f>IF('AAA Summary'!$L$59=4, RANK(H33,H$8:H$79,1)+COUNTIF($H$8:H33,H33)-1, IF('AAA Summary'!$L$59=3, RANK(G33,G$8:G$79,1)+COUNTIF($G$8:G33,G33)-1, IF('AAA Summary'!$L$59=2, RANK(F33,F$8:F$79,1)+COUNTIF($F$8:F33,F33)-1, IF('AAA Summary'!$L$59=1, RANK(E33,E$8:E$79,1)+COUNTIF($E$8:E33,E33)-1))))</f>
        <v>40</v>
      </c>
      <c r="U33" s="28">
        <f>IF('AAA Summary'!$L$59=4, H33, IF('AAA Summary'!$L$59=3, G33, IF('AAA Summary'!$L$59=2, F33, IF('AAA Summary'!$L$59=1, E33))))</f>
        <v>0.96</v>
      </c>
      <c r="V33">
        <f t="shared" si="7"/>
        <v>10</v>
      </c>
      <c r="W33" s="9">
        <f t="shared" si="8"/>
        <v>84</v>
      </c>
      <c r="X33" s="84" t="s">
        <v>579</v>
      </c>
      <c r="Y33" s="131">
        <v>0.24</v>
      </c>
      <c r="Z33" s="9">
        <v>107</v>
      </c>
      <c r="AA33">
        <v>59</v>
      </c>
      <c r="AB33">
        <v>157</v>
      </c>
      <c r="AC33">
        <f t="shared" si="9"/>
        <v>48</v>
      </c>
      <c r="AD33">
        <f t="shared" si="10"/>
        <v>50</v>
      </c>
      <c r="AE33">
        <v>56</v>
      </c>
      <c r="AF33">
        <v>24</v>
      </c>
      <c r="AG33">
        <v>14.53683</v>
      </c>
      <c r="AH33">
        <v>36.36112</v>
      </c>
      <c r="AI33" s="51">
        <f t="shared" si="11"/>
        <v>9.4631699999999999</v>
      </c>
      <c r="AJ33" s="51">
        <f t="shared" si="12"/>
        <v>12.36112</v>
      </c>
      <c r="AK33" s="51">
        <v>80</v>
      </c>
      <c r="AL33" s="135">
        <v>48</v>
      </c>
      <c r="AM33">
        <f>IF('AAA Summary'!$M$28=2, AF33, IF('AAA Summary'!$M$28=1,Z33))</f>
        <v>107</v>
      </c>
      <c r="AN33">
        <f>IF('AAA Summary'!$M$28=2, AI33, IF('AAA Summary'!$M$28=1,AC33))</f>
        <v>48</v>
      </c>
      <c r="AO33">
        <f>IF('AAA Summary'!$M$28=2, AJ33, IF('AAA Summary'!$M$28=1,AD33))</f>
        <v>50</v>
      </c>
      <c r="AP33">
        <f>IF('AAA Summary'!$M$28=2, AK33, IF('AAA Summary'!$M$28=1,AE33))</f>
        <v>56</v>
      </c>
    </row>
    <row r="34" spans="1:42" x14ac:dyDescent="0.25">
      <c r="A34" t="s">
        <v>83</v>
      </c>
      <c r="B34" s="74" t="s">
        <v>84</v>
      </c>
      <c r="C34" s="5">
        <v>48</v>
      </c>
      <c r="D34" s="5">
        <v>22</v>
      </c>
      <c r="E34" s="130">
        <v>0.9</v>
      </c>
      <c r="F34" s="130">
        <v>1</v>
      </c>
      <c r="G34" s="130">
        <v>0.95</v>
      </c>
      <c r="H34" s="130">
        <v>0.92</v>
      </c>
      <c r="I34" s="51">
        <f t="shared" si="1"/>
        <v>26</v>
      </c>
      <c r="J34" s="130">
        <v>0.46</v>
      </c>
      <c r="K34" s="130">
        <v>0.54</v>
      </c>
      <c r="L34" s="84" t="s">
        <v>187</v>
      </c>
      <c r="M34" s="84" t="s">
        <v>207</v>
      </c>
      <c r="N34" s="6">
        <v>3.6999999999999998E-2</v>
      </c>
      <c r="O34" t="str">
        <f t="shared" si="2"/>
        <v>RTD</v>
      </c>
      <c r="P34" s="22">
        <f t="shared" si="3"/>
        <v>2</v>
      </c>
      <c r="Q34" s="22">
        <f t="shared" si="4"/>
        <v>4</v>
      </c>
      <c r="R34" s="22">
        <f t="shared" si="5"/>
        <v>3</v>
      </c>
      <c r="S34" s="22">
        <f t="shared" si="6"/>
        <v>3</v>
      </c>
      <c r="T34" s="40">
        <f>IF('AAA Summary'!$L$59=4, RANK(H34,H$8:H$79,1)+COUNTIF($H$8:H34,H34)-1, IF('AAA Summary'!$L$59=3, RANK(G34,G$8:G$79,1)+COUNTIF($G$8:G34,G34)-1, IF('AAA Summary'!$L$59=2, RANK(F34,F$8:F$79,1)+COUNTIF($F$8:F34,F34)-1, IF('AAA Summary'!$L$59=1, RANK(E34,E$8:E$79,1)+COUNTIF($E$8:E34,E34)-1))))</f>
        <v>22</v>
      </c>
      <c r="U34" s="28">
        <f>IF('AAA Summary'!$L$59=4, H34, IF('AAA Summary'!$L$59=3, G34, IF('AAA Summary'!$L$59=2, F34, IF('AAA Summary'!$L$59=1, E34))))</f>
        <v>0.9</v>
      </c>
      <c r="V34">
        <f t="shared" si="7"/>
        <v>45</v>
      </c>
      <c r="W34" s="9">
        <f t="shared" si="8"/>
        <v>46</v>
      </c>
      <c r="X34" s="84" t="s">
        <v>620</v>
      </c>
      <c r="Y34" s="131">
        <v>0.3</v>
      </c>
      <c r="Z34" s="9">
        <v>89</v>
      </c>
      <c r="AA34">
        <v>49</v>
      </c>
      <c r="AB34">
        <v>163</v>
      </c>
      <c r="AC34">
        <f t="shared" si="9"/>
        <v>40</v>
      </c>
      <c r="AD34">
        <f t="shared" si="10"/>
        <v>74</v>
      </c>
      <c r="AE34">
        <v>56</v>
      </c>
      <c r="AF34">
        <v>30</v>
      </c>
      <c r="AG34">
        <v>17.182500000000001</v>
      </c>
      <c r="AH34">
        <v>46.125329999999998</v>
      </c>
      <c r="AI34" s="51">
        <f t="shared" si="11"/>
        <v>12.817499999999999</v>
      </c>
      <c r="AJ34" s="51">
        <f t="shared" si="12"/>
        <v>16.125329999999998</v>
      </c>
      <c r="AK34" s="51">
        <v>80</v>
      </c>
      <c r="AL34" s="135">
        <v>35</v>
      </c>
      <c r="AM34">
        <f>IF('AAA Summary'!$M$28=2, AF34, IF('AAA Summary'!$M$28=1,Z34))</f>
        <v>89</v>
      </c>
      <c r="AN34">
        <f>IF('AAA Summary'!$M$28=2, AI34, IF('AAA Summary'!$M$28=1,AC34))</f>
        <v>40</v>
      </c>
      <c r="AO34">
        <f>IF('AAA Summary'!$M$28=2, AJ34, IF('AAA Summary'!$M$28=1,AD34))</f>
        <v>74</v>
      </c>
      <c r="AP34">
        <f>IF('AAA Summary'!$M$28=2, AK34, IF('AAA Summary'!$M$28=1,AE34))</f>
        <v>56</v>
      </c>
    </row>
    <row r="35" spans="1:42" x14ac:dyDescent="0.25">
      <c r="A35" t="s">
        <v>129</v>
      </c>
      <c r="B35" s="74" t="s">
        <v>130</v>
      </c>
      <c r="C35" s="5">
        <v>14</v>
      </c>
      <c r="D35" s="5">
        <v>14</v>
      </c>
      <c r="E35" s="130">
        <v>0.64</v>
      </c>
      <c r="F35" s="130">
        <v>1</v>
      </c>
      <c r="G35" s="130">
        <v>0.64</v>
      </c>
      <c r="H35" s="130">
        <v>0.28999999999999998</v>
      </c>
      <c r="I35" s="51">
        <f t="shared" si="1"/>
        <v>0</v>
      </c>
      <c r="J35" s="130">
        <v>1</v>
      </c>
      <c r="K35" s="130">
        <v>0</v>
      </c>
      <c r="L35" s="84" t="s">
        <v>193</v>
      </c>
      <c r="M35" s="84" t="s">
        <v>220</v>
      </c>
      <c r="N35" s="6">
        <v>1.6E-2</v>
      </c>
      <c r="O35" t="str">
        <f t="shared" si="2"/>
        <v>SN999</v>
      </c>
      <c r="P35" s="22">
        <f t="shared" si="3"/>
        <v>1</v>
      </c>
      <c r="Q35" s="22">
        <f t="shared" si="4"/>
        <v>4</v>
      </c>
      <c r="R35" s="22">
        <f t="shared" si="5"/>
        <v>1</v>
      </c>
      <c r="S35" s="22">
        <f t="shared" si="6"/>
        <v>1</v>
      </c>
      <c r="T35" s="40">
        <f>IF('AAA Summary'!$L$59=4, RANK(H35,H$8:H$79,1)+COUNTIF($H$8:H35,H35)-1, IF('AAA Summary'!$L$59=3, RANK(G35,G$8:G$79,1)+COUNTIF($G$8:G35,G35)-1, IF('AAA Summary'!$L$59=2, RANK(F35,F$8:F$79,1)+COUNTIF($F$8:F35,F35)-1, IF('AAA Summary'!$L$59=1, RANK(E35,E$8:E$79,1)+COUNTIF($E$8:E35,E35)-1))))</f>
        <v>5</v>
      </c>
      <c r="U35" s="28">
        <f>IF('AAA Summary'!$L$59=4, H35, IF('AAA Summary'!$L$59=3, G35, IF('AAA Summary'!$L$59=2, F35, IF('AAA Summary'!$L$59=1, E35))))</f>
        <v>0.64</v>
      </c>
      <c r="V35">
        <f t="shared" si="7"/>
        <v>1</v>
      </c>
      <c r="W35" s="9">
        <f t="shared" si="8"/>
        <v>100</v>
      </c>
      <c r="X35" s="84" t="s">
        <v>227</v>
      </c>
      <c r="Y35" s="131" t="s">
        <v>227</v>
      </c>
      <c r="Z35" s="135" t="e">
        <v>#N/A</v>
      </c>
      <c r="AA35" s="135" t="e">
        <v>#N/A</v>
      </c>
      <c r="AB35" s="135" t="e">
        <v>#N/A</v>
      </c>
      <c r="AC35" s="135" t="e">
        <v>#N/A</v>
      </c>
      <c r="AD35" s="135" t="e">
        <v>#N/A</v>
      </c>
      <c r="AE35">
        <v>56</v>
      </c>
      <c r="AF35" s="135" t="e">
        <v>#N/A</v>
      </c>
      <c r="AG35" t="e">
        <v>#N/A</v>
      </c>
      <c r="AH35" t="e">
        <v>#N/A</v>
      </c>
      <c r="AI35" s="51" t="e">
        <f t="shared" ref="AI35" si="17">AF35-AG35</f>
        <v>#N/A</v>
      </c>
      <c r="AJ35" s="51" t="e">
        <f t="shared" ref="AJ35" si="18">AH35-AF35</f>
        <v>#N/A</v>
      </c>
      <c r="AK35" s="51">
        <v>80</v>
      </c>
      <c r="AL35" s="135" t="e">
        <v>#N/A</v>
      </c>
      <c r="AM35" t="e">
        <f>IF('AAA Summary'!$M$28=2, AF35, IF('AAA Summary'!$M$28=1,Z35))</f>
        <v>#N/A</v>
      </c>
      <c r="AN35" t="e">
        <f>IF('AAA Summary'!$M$28=2, AI35, IF('AAA Summary'!$M$28=1,AC35))</f>
        <v>#N/A</v>
      </c>
      <c r="AO35" t="e">
        <f>IF('AAA Summary'!$M$28=2, AJ35, IF('AAA Summary'!$M$28=1,AD35))</f>
        <v>#N/A</v>
      </c>
      <c r="AP35">
        <f>IF('AAA Summary'!$M$28=2, AK35, IF('AAA Summary'!$M$28=1,AE35))</f>
        <v>56</v>
      </c>
    </row>
    <row r="36" spans="1:42" x14ac:dyDescent="0.25">
      <c r="A36" t="s">
        <v>123</v>
      </c>
      <c r="B36" s="74" t="s">
        <v>124</v>
      </c>
      <c r="C36" s="5">
        <v>31</v>
      </c>
      <c r="D36" s="5">
        <v>17</v>
      </c>
      <c r="E36" s="130">
        <v>1</v>
      </c>
      <c r="F36" s="130">
        <v>1</v>
      </c>
      <c r="G36" s="130">
        <v>1</v>
      </c>
      <c r="H36" s="130">
        <v>0.77</v>
      </c>
      <c r="I36" s="51">
        <f t="shared" si="1"/>
        <v>14</v>
      </c>
      <c r="J36" s="130">
        <v>0.55000000000000004</v>
      </c>
      <c r="K36" s="130">
        <v>0.45</v>
      </c>
      <c r="L36" s="84" t="s">
        <v>189</v>
      </c>
      <c r="M36" s="84" t="s">
        <v>208</v>
      </c>
      <c r="N36" s="6">
        <v>1.2999999999999999E-2</v>
      </c>
      <c r="O36" t="str">
        <f t="shared" si="2"/>
        <v>SG999</v>
      </c>
      <c r="P36" s="22">
        <f t="shared" si="3"/>
        <v>4</v>
      </c>
      <c r="Q36" s="22">
        <f t="shared" si="4"/>
        <v>4</v>
      </c>
      <c r="R36" s="22">
        <f t="shared" si="5"/>
        <v>4</v>
      </c>
      <c r="S36" s="22">
        <f t="shared" si="6"/>
        <v>1</v>
      </c>
      <c r="T36" s="40">
        <f>IF('AAA Summary'!$L$59=4, RANK(H36,H$8:H$79,1)+COUNTIF($H$8:H36,H36)-1, IF('AAA Summary'!$L$59=3, RANK(G36,G$8:G$79,1)+COUNTIF($G$8:G36,G36)-1, IF('AAA Summary'!$L$59=2, RANK(F36,F$8:F$79,1)+COUNTIF($F$8:F36,F36)-1, IF('AAA Summary'!$L$59=1, RANK(E36,E$8:E$79,1)+COUNTIF($E$8:E36,E36)-1))))</f>
        <v>58</v>
      </c>
      <c r="U36" s="28">
        <f>IF('AAA Summary'!$L$59=4, H36, IF('AAA Summary'!$L$59=3, G36, IF('AAA Summary'!$L$59=2, F36, IF('AAA Summary'!$L$59=1, E36))))</f>
        <v>1</v>
      </c>
      <c r="V36">
        <f t="shared" si="7"/>
        <v>37</v>
      </c>
      <c r="W36" s="9">
        <f t="shared" si="8"/>
        <v>55.000000000000007</v>
      </c>
      <c r="X36" s="84" t="s">
        <v>648</v>
      </c>
      <c r="Y36" s="131">
        <v>0.55000000000000004</v>
      </c>
      <c r="Z36" s="9">
        <v>52</v>
      </c>
      <c r="AA36">
        <v>33</v>
      </c>
      <c r="AB36">
        <v>107</v>
      </c>
      <c r="AC36">
        <f t="shared" si="9"/>
        <v>19</v>
      </c>
      <c r="AD36">
        <f t="shared" si="10"/>
        <v>55</v>
      </c>
      <c r="AE36">
        <v>56</v>
      </c>
      <c r="AF36">
        <v>55.000000000000007</v>
      </c>
      <c r="AG36">
        <v>36.034230000000001</v>
      </c>
      <c r="AH36">
        <v>72.683499999999995</v>
      </c>
      <c r="AI36" s="51">
        <f t="shared" si="11"/>
        <v>18.965770000000006</v>
      </c>
      <c r="AJ36" s="51">
        <f t="shared" si="12"/>
        <v>17.683499999999988</v>
      </c>
      <c r="AK36" s="51">
        <v>80</v>
      </c>
      <c r="AL36" s="135">
        <v>6</v>
      </c>
      <c r="AM36">
        <f>IF('AAA Summary'!$M$28=2, AF36, IF('AAA Summary'!$M$28=1,Z36))</f>
        <v>52</v>
      </c>
      <c r="AN36">
        <f>IF('AAA Summary'!$M$28=2, AI36, IF('AAA Summary'!$M$28=1,AC36))</f>
        <v>19</v>
      </c>
      <c r="AO36">
        <f>IF('AAA Summary'!$M$28=2, AJ36, IF('AAA Summary'!$M$28=1,AD36))</f>
        <v>55</v>
      </c>
      <c r="AP36">
        <f>IF('AAA Summary'!$M$28=2, AK36, IF('AAA Summary'!$M$28=1,AE36))</f>
        <v>56</v>
      </c>
    </row>
    <row r="37" spans="1:42" x14ac:dyDescent="0.25">
      <c r="A37" t="s">
        <v>125</v>
      </c>
      <c r="B37" s="74" t="s">
        <v>126</v>
      </c>
      <c r="C37" s="5">
        <v>20</v>
      </c>
      <c r="D37" s="5">
        <v>9</v>
      </c>
      <c r="E37" s="130">
        <v>0.95</v>
      </c>
      <c r="F37" s="130">
        <v>1</v>
      </c>
      <c r="G37" s="130">
        <v>0.94</v>
      </c>
      <c r="H37" s="130">
        <v>0.95</v>
      </c>
      <c r="I37" s="51">
        <f t="shared" si="1"/>
        <v>11</v>
      </c>
      <c r="J37" s="130">
        <v>0.45</v>
      </c>
      <c r="K37" s="130">
        <v>0.55000000000000004</v>
      </c>
      <c r="L37" s="84" t="s">
        <v>193</v>
      </c>
      <c r="M37" s="84" t="s">
        <v>309</v>
      </c>
      <c r="N37" s="6">
        <v>1.9E-2</v>
      </c>
      <c r="O37" t="str">
        <f t="shared" si="2"/>
        <v>SH999</v>
      </c>
      <c r="P37" s="22">
        <f t="shared" si="3"/>
        <v>3</v>
      </c>
      <c r="Q37" s="22">
        <f t="shared" si="4"/>
        <v>4</v>
      </c>
      <c r="R37" s="22">
        <f t="shared" si="5"/>
        <v>2</v>
      </c>
      <c r="S37" s="22">
        <f t="shared" si="6"/>
        <v>3</v>
      </c>
      <c r="T37" s="40">
        <f>IF('AAA Summary'!$L$59=4, RANK(H37,H$8:H$79,1)+COUNTIF($H$8:H37,H37)-1, IF('AAA Summary'!$L$59=3, RANK(G37,G$8:G$79,1)+COUNTIF($G$8:G37,G37)-1, IF('AAA Summary'!$L$59=2, RANK(F37,F$8:F$79,1)+COUNTIF($F$8:F37,F37)-1, IF('AAA Summary'!$L$59=1, RANK(E37,E$8:E$79,1)+COUNTIF($E$8:E37,E37)-1))))</f>
        <v>34</v>
      </c>
      <c r="U37" s="28">
        <f>IF('AAA Summary'!$L$59=4, H37, IF('AAA Summary'!$L$59=3, G37, IF('AAA Summary'!$L$59=2, F37, IF('AAA Summary'!$L$59=1, E37))))</f>
        <v>0.95</v>
      </c>
      <c r="V37">
        <f t="shared" si="7"/>
        <v>47</v>
      </c>
      <c r="W37" s="9">
        <f t="shared" si="8"/>
        <v>45</v>
      </c>
      <c r="X37" s="84" t="s">
        <v>649</v>
      </c>
      <c r="Y37" s="131">
        <v>0.53</v>
      </c>
      <c r="Z37" s="9">
        <v>52</v>
      </c>
      <c r="AA37">
        <v>19</v>
      </c>
      <c r="AB37">
        <v>105</v>
      </c>
      <c r="AC37">
        <f t="shared" si="9"/>
        <v>33</v>
      </c>
      <c r="AD37">
        <f t="shared" si="10"/>
        <v>53</v>
      </c>
      <c r="AE37">
        <v>56</v>
      </c>
      <c r="AF37">
        <v>53</v>
      </c>
      <c r="AG37">
        <v>28.864319999999999</v>
      </c>
      <c r="AH37">
        <v>75.55252999999999</v>
      </c>
      <c r="AI37" s="51">
        <f t="shared" si="11"/>
        <v>24.135680000000001</v>
      </c>
      <c r="AJ37" s="51">
        <f t="shared" si="12"/>
        <v>22.55252999999999</v>
      </c>
      <c r="AK37" s="51">
        <v>80</v>
      </c>
      <c r="AL37" s="135">
        <v>5</v>
      </c>
      <c r="AM37">
        <f>IF('AAA Summary'!$M$28=2, AF37, IF('AAA Summary'!$M$28=1,Z37))</f>
        <v>52</v>
      </c>
      <c r="AN37">
        <f>IF('AAA Summary'!$M$28=2, AI37, IF('AAA Summary'!$M$28=1,AC37))</f>
        <v>33</v>
      </c>
      <c r="AO37">
        <f>IF('AAA Summary'!$M$28=2, AJ37, IF('AAA Summary'!$M$28=1,AD37))</f>
        <v>53</v>
      </c>
      <c r="AP37">
        <f>IF('AAA Summary'!$M$28=2, AK37, IF('AAA Summary'!$M$28=1,AE37))</f>
        <v>56</v>
      </c>
    </row>
    <row r="38" spans="1:42" x14ac:dyDescent="0.25">
      <c r="A38" t="s">
        <v>127</v>
      </c>
      <c r="B38" s="74" t="s">
        <v>128</v>
      </c>
      <c r="C38" s="5">
        <v>43</v>
      </c>
      <c r="D38" s="5">
        <v>28</v>
      </c>
      <c r="E38" s="130">
        <v>0.84</v>
      </c>
      <c r="F38" s="130">
        <v>0.98</v>
      </c>
      <c r="G38" s="130">
        <v>0.86</v>
      </c>
      <c r="H38" s="130">
        <v>0.77</v>
      </c>
      <c r="I38" s="51">
        <f t="shared" si="1"/>
        <v>15</v>
      </c>
      <c r="J38" s="130">
        <v>0.65</v>
      </c>
      <c r="K38" s="130">
        <v>0.35</v>
      </c>
      <c r="L38" s="84" t="s">
        <v>185</v>
      </c>
      <c r="M38" s="84" t="s">
        <v>201</v>
      </c>
      <c r="N38" s="6">
        <v>3.5000000000000003E-2</v>
      </c>
      <c r="O38" t="str">
        <f t="shared" si="2"/>
        <v>SL999</v>
      </c>
      <c r="P38" s="22">
        <f t="shared" si="3"/>
        <v>1</v>
      </c>
      <c r="Q38" s="22">
        <f t="shared" si="4"/>
        <v>2</v>
      </c>
      <c r="R38" s="22">
        <f t="shared" si="5"/>
        <v>1</v>
      </c>
      <c r="S38" s="22">
        <f t="shared" si="6"/>
        <v>1</v>
      </c>
      <c r="T38" s="40">
        <f>IF('AAA Summary'!$L$59=4, RANK(H38,H$8:H$79,1)+COUNTIF($H$8:H38,H38)-1, IF('AAA Summary'!$L$59=3, RANK(G38,G$8:G$79,1)+COUNTIF($G$8:G38,G38)-1, IF('AAA Summary'!$L$59=2, RANK(F38,F$8:F$79,1)+COUNTIF($F$8:F38,F38)-1, IF('AAA Summary'!$L$59=1, RANK(E38,E$8:E$79,1)+COUNTIF($E$8:E38,E38)-1))))</f>
        <v>14</v>
      </c>
      <c r="U38" s="28">
        <f>IF('AAA Summary'!$L$59=4, H38, IF('AAA Summary'!$L$59=3, G38, IF('AAA Summary'!$L$59=2, F38, IF('AAA Summary'!$L$59=1, E38))))</f>
        <v>0.84</v>
      </c>
      <c r="V38">
        <f t="shared" si="7"/>
        <v>25</v>
      </c>
      <c r="W38" s="9">
        <f t="shared" si="8"/>
        <v>65</v>
      </c>
      <c r="X38" s="84" t="s">
        <v>650</v>
      </c>
      <c r="Y38" s="131">
        <v>0.14000000000000001</v>
      </c>
      <c r="Z38" s="9">
        <v>147</v>
      </c>
      <c r="AA38">
        <v>90</v>
      </c>
      <c r="AB38">
        <v>248</v>
      </c>
      <c r="AC38">
        <f t="shared" si="9"/>
        <v>57</v>
      </c>
      <c r="AD38">
        <f t="shared" si="10"/>
        <v>101</v>
      </c>
      <c r="AE38">
        <v>56</v>
      </c>
      <c r="AF38">
        <v>14.000000000000002</v>
      </c>
      <c r="AG38">
        <v>4.66777</v>
      </c>
      <c r="AH38">
        <v>29.497499999999999</v>
      </c>
      <c r="AI38" s="51">
        <f t="shared" si="11"/>
        <v>9.3322300000000027</v>
      </c>
      <c r="AJ38" s="51">
        <f t="shared" si="12"/>
        <v>15.497499999999997</v>
      </c>
      <c r="AK38" s="51">
        <v>80</v>
      </c>
      <c r="AL38" s="135">
        <v>56</v>
      </c>
      <c r="AM38">
        <f>IF('AAA Summary'!$M$28=2, AF38, IF('AAA Summary'!$M$28=1,Z38))</f>
        <v>147</v>
      </c>
      <c r="AN38">
        <f>IF('AAA Summary'!$M$28=2, AI38, IF('AAA Summary'!$M$28=1,AC38))</f>
        <v>57</v>
      </c>
      <c r="AO38">
        <f>IF('AAA Summary'!$M$28=2, AJ38, IF('AAA Summary'!$M$28=1,AD38))</f>
        <v>101</v>
      </c>
      <c r="AP38">
        <f>IF('AAA Summary'!$M$28=2, AK38, IF('AAA Summary'!$M$28=1,AE38))</f>
        <v>56</v>
      </c>
    </row>
    <row r="39" spans="1:42" x14ac:dyDescent="0.25">
      <c r="A39" t="s">
        <v>131</v>
      </c>
      <c r="B39" s="74" t="s">
        <v>132</v>
      </c>
      <c r="C39" s="5">
        <v>33</v>
      </c>
      <c r="D39" s="5">
        <v>17</v>
      </c>
      <c r="E39" s="130">
        <v>0.97</v>
      </c>
      <c r="F39" s="130">
        <v>1</v>
      </c>
      <c r="G39" s="130">
        <v>1</v>
      </c>
      <c r="H39" s="130">
        <v>0.97</v>
      </c>
      <c r="I39" s="51">
        <f t="shared" si="1"/>
        <v>16</v>
      </c>
      <c r="J39" s="130">
        <v>0.52</v>
      </c>
      <c r="K39" s="130">
        <v>0.48</v>
      </c>
      <c r="L39" s="84" t="s">
        <v>171</v>
      </c>
      <c r="M39" s="84" t="s">
        <v>212</v>
      </c>
      <c r="N39" s="6">
        <v>1.0999999999999999E-2</v>
      </c>
      <c r="O39" t="str">
        <f t="shared" si="2"/>
        <v>SS999</v>
      </c>
      <c r="P39" s="22">
        <f t="shared" si="3"/>
        <v>3</v>
      </c>
      <c r="Q39" s="22">
        <f t="shared" si="4"/>
        <v>4</v>
      </c>
      <c r="R39" s="22">
        <f t="shared" si="5"/>
        <v>4</v>
      </c>
      <c r="S39" s="22">
        <f t="shared" si="6"/>
        <v>4</v>
      </c>
      <c r="T39" s="40">
        <f>IF('AAA Summary'!$L$59=4, RANK(H39,H$8:H$79,1)+COUNTIF($H$8:H39,H39)-1, IF('AAA Summary'!$L$59=3, RANK(G39,G$8:G$79,1)+COUNTIF($G$8:G39,G39)-1, IF('AAA Summary'!$L$59=2, RANK(F39,F$8:F$79,1)+COUNTIF($F$8:F39,F39)-1, IF('AAA Summary'!$L$59=1, RANK(E39,E$8:E$79,1)+COUNTIF($E$8:E39,E39)-1))))</f>
        <v>46</v>
      </c>
      <c r="U39" s="28">
        <f>IF('AAA Summary'!$L$59=4, H39, IF('AAA Summary'!$L$59=3, G39, IF('AAA Summary'!$L$59=2, F39, IF('AAA Summary'!$L$59=1, E39))))</f>
        <v>0.97</v>
      </c>
      <c r="V39">
        <f t="shared" si="7"/>
        <v>39</v>
      </c>
      <c r="W39" s="9">
        <f t="shared" si="8"/>
        <v>52</v>
      </c>
      <c r="X39" s="84" t="s">
        <v>651</v>
      </c>
      <c r="Y39" s="131">
        <v>0.31</v>
      </c>
      <c r="Z39" s="9">
        <v>101</v>
      </c>
      <c r="AA39">
        <v>52</v>
      </c>
      <c r="AB39">
        <v>120</v>
      </c>
      <c r="AC39">
        <f t="shared" si="9"/>
        <v>49</v>
      </c>
      <c r="AD39">
        <f t="shared" si="10"/>
        <v>19</v>
      </c>
      <c r="AE39">
        <v>56</v>
      </c>
      <c r="AF39">
        <v>31</v>
      </c>
      <c r="AG39">
        <v>16.118469999999999</v>
      </c>
      <c r="AH39">
        <v>50.007760000000005</v>
      </c>
      <c r="AI39" s="51">
        <f t="shared" si="11"/>
        <v>14.881530000000001</v>
      </c>
      <c r="AJ39" s="51">
        <f t="shared" si="12"/>
        <v>19.007760000000005</v>
      </c>
      <c r="AK39" s="51">
        <v>80</v>
      </c>
      <c r="AL39" s="135">
        <v>43</v>
      </c>
      <c r="AM39">
        <f>IF('AAA Summary'!$M$28=2, AF39, IF('AAA Summary'!$M$28=1,Z39))</f>
        <v>101</v>
      </c>
      <c r="AN39">
        <f>IF('AAA Summary'!$M$28=2, AI39, IF('AAA Summary'!$M$28=1,AC39))</f>
        <v>49</v>
      </c>
      <c r="AO39">
        <f>IF('AAA Summary'!$M$28=2, AJ39, IF('AAA Summary'!$M$28=1,AD39))</f>
        <v>19</v>
      </c>
      <c r="AP39">
        <f>IF('AAA Summary'!$M$28=2, AK39, IF('AAA Summary'!$M$28=1,AE39))</f>
        <v>56</v>
      </c>
    </row>
    <row r="40" spans="1:42" x14ac:dyDescent="0.25">
      <c r="A40" t="s">
        <v>133</v>
      </c>
      <c r="B40" s="74" t="s">
        <v>134</v>
      </c>
      <c r="C40" s="5">
        <v>20</v>
      </c>
      <c r="D40" s="5">
        <v>7</v>
      </c>
      <c r="E40" s="130">
        <v>0.95</v>
      </c>
      <c r="F40" s="130">
        <v>0.95</v>
      </c>
      <c r="G40" s="130">
        <v>0.95</v>
      </c>
      <c r="H40" s="130">
        <v>0.95</v>
      </c>
      <c r="I40" s="51">
        <f t="shared" ref="I40:I74" si="19">C40-D40</f>
        <v>13</v>
      </c>
      <c r="J40" s="130">
        <v>0.35</v>
      </c>
      <c r="K40" s="130">
        <v>0.65</v>
      </c>
      <c r="L40" s="84" t="s">
        <v>199</v>
      </c>
      <c r="M40" s="84" t="s">
        <v>653</v>
      </c>
      <c r="N40" s="6">
        <v>2.7E-2</v>
      </c>
      <c r="O40" t="str">
        <f t="shared" ref="O40:O74" si="20">A40</f>
        <v>ST999</v>
      </c>
      <c r="P40" s="22">
        <f t="shared" ref="P40:P74" si="21">+IF(E40&lt;E$2,1,IF(E40&lt;E$3,2,IF(E40&lt;E$4,3,4)))</f>
        <v>3</v>
      </c>
      <c r="Q40" s="22">
        <f t="shared" ref="Q40:Q74" si="22">+IF(F40&lt;F$2,1,IF(F40&lt;F$3,2,IF(F40&lt;F$4,3,4)))</f>
        <v>1</v>
      </c>
      <c r="R40" s="22">
        <f t="shared" ref="R40:R74" si="23">+IF(G40&lt;G$2,1,IF(G40&lt;G$3,2,IF(G40&lt;G$4,3,4)))</f>
        <v>3</v>
      </c>
      <c r="S40" s="22">
        <f t="shared" ref="S40:S74" si="24">+IF(H40&lt;H$2,1,IF(H40&lt;H$3,2,IF(H40&lt;H$4,3,4)))</f>
        <v>3</v>
      </c>
      <c r="T40" s="40">
        <f>IF('AAA Summary'!$L$59=4, RANK(H40,H$8:H$79,1)+COUNTIF($H$8:H40,H40)-1, IF('AAA Summary'!$L$59=3, RANK(G40,G$8:G$79,1)+COUNTIF($G$8:G40,G40)-1, IF('AAA Summary'!$L$59=2, RANK(F40,F$8:F$79,1)+COUNTIF($F$8:F40,F40)-1, IF('AAA Summary'!$L$59=1, RANK(E40,E$8:E$79,1)+COUNTIF($E$8:E40,E40)-1))))</f>
        <v>35</v>
      </c>
      <c r="U40" s="28">
        <f>IF('AAA Summary'!$L$59=4, H40, IF('AAA Summary'!$L$59=3, G40, IF('AAA Summary'!$L$59=2, F40, IF('AAA Summary'!$L$59=1, E40))))</f>
        <v>0.95</v>
      </c>
      <c r="V40">
        <f t="shared" ref="V40:V74" si="25">RANK(J40,$J$8:$J$75)</f>
        <v>62</v>
      </c>
      <c r="W40" s="9">
        <f t="shared" ref="W40:W74" si="26">J40*100</f>
        <v>35</v>
      </c>
      <c r="X40" s="84" t="s">
        <v>652</v>
      </c>
      <c r="Y40" s="131">
        <v>0.11</v>
      </c>
      <c r="Z40" s="9">
        <v>157</v>
      </c>
      <c r="AA40">
        <v>102</v>
      </c>
      <c r="AB40">
        <v>177</v>
      </c>
      <c r="AC40">
        <f t="shared" ref="AC40:AC74" si="27">Z40-AA40</f>
        <v>55</v>
      </c>
      <c r="AD40">
        <f t="shared" ref="AD40:AD74" si="28">AB40-Z40</f>
        <v>20</v>
      </c>
      <c r="AE40">
        <v>56</v>
      </c>
      <c r="AF40">
        <v>11</v>
      </c>
      <c r="AG40">
        <v>1.30122</v>
      </c>
      <c r="AH40">
        <v>33.13767</v>
      </c>
      <c r="AI40" s="51">
        <f t="shared" si="11"/>
        <v>9.6987799999999993</v>
      </c>
      <c r="AJ40" s="51">
        <f t="shared" si="12"/>
        <v>22.13767</v>
      </c>
      <c r="AK40" s="51">
        <v>80</v>
      </c>
      <c r="AL40" s="135">
        <v>58</v>
      </c>
      <c r="AM40">
        <f>IF('AAA Summary'!$M$28=2, AF40, IF('AAA Summary'!$M$28=1,Z40))</f>
        <v>157</v>
      </c>
      <c r="AN40">
        <f>IF('AAA Summary'!$M$28=2, AI40, IF('AAA Summary'!$M$28=1,AC40))</f>
        <v>55</v>
      </c>
      <c r="AO40">
        <f>IF('AAA Summary'!$M$28=2, AJ40, IF('AAA Summary'!$M$28=1,AD40))</f>
        <v>20</v>
      </c>
      <c r="AP40">
        <f>IF('AAA Summary'!$M$28=2, AK40, IF('AAA Summary'!$M$28=1,AE40))</f>
        <v>56</v>
      </c>
    </row>
    <row r="41" spans="1:42" x14ac:dyDescent="0.25">
      <c r="A41" t="s">
        <v>60</v>
      </c>
      <c r="B41" s="74" t="s">
        <v>61</v>
      </c>
      <c r="C41" s="5">
        <v>77</v>
      </c>
      <c r="D41" s="5">
        <v>35</v>
      </c>
      <c r="E41" s="130">
        <v>0.87</v>
      </c>
      <c r="F41" s="130">
        <v>1</v>
      </c>
      <c r="G41" s="130">
        <v>0.88</v>
      </c>
      <c r="H41" s="130">
        <v>0.75</v>
      </c>
      <c r="I41" s="51">
        <f t="shared" si="19"/>
        <v>42</v>
      </c>
      <c r="J41" s="130">
        <v>0.45</v>
      </c>
      <c r="K41" s="130">
        <v>0.55000000000000004</v>
      </c>
      <c r="L41" s="84" t="s">
        <v>172</v>
      </c>
      <c r="M41" s="84" t="s">
        <v>214</v>
      </c>
      <c r="N41" s="6">
        <v>1.4999999999999999E-2</v>
      </c>
      <c r="O41" t="str">
        <f t="shared" si="20"/>
        <v>RM1</v>
      </c>
      <c r="P41" s="22">
        <f t="shared" si="21"/>
        <v>1</v>
      </c>
      <c r="Q41" s="22">
        <f t="shared" si="22"/>
        <v>4</v>
      </c>
      <c r="R41" s="22">
        <f t="shared" si="23"/>
        <v>2</v>
      </c>
      <c r="S41" s="22">
        <f t="shared" si="24"/>
        <v>1</v>
      </c>
      <c r="T41" s="40">
        <f>IF('AAA Summary'!$L$59=4, RANK(H41,H$8:H$79,1)+COUNTIF($H$8:H41,H41)-1, IF('AAA Summary'!$L$59=3, RANK(G41,G$8:G$79,1)+COUNTIF($G$8:G41,G41)-1, IF('AAA Summary'!$L$59=2, RANK(F41,F$8:F$79,1)+COUNTIF($F$8:F41,F41)-1, IF('AAA Summary'!$L$59=1, RANK(E41,E$8:E$79,1)+COUNTIF($E$8:E41,E41)-1))))</f>
        <v>17</v>
      </c>
      <c r="U41" s="28">
        <f>IF('AAA Summary'!$L$59=4, H41, IF('AAA Summary'!$L$59=3, G41, IF('AAA Summary'!$L$59=2, F41, IF('AAA Summary'!$L$59=1, E41))))</f>
        <v>0.87</v>
      </c>
      <c r="V41">
        <f t="shared" si="25"/>
        <v>47</v>
      </c>
      <c r="W41" s="9">
        <f t="shared" si="26"/>
        <v>45</v>
      </c>
      <c r="X41" s="84" t="s">
        <v>607</v>
      </c>
      <c r="Y41" s="131">
        <v>0.61</v>
      </c>
      <c r="Z41" s="9">
        <v>41</v>
      </c>
      <c r="AA41">
        <v>23</v>
      </c>
      <c r="AB41">
        <v>80</v>
      </c>
      <c r="AC41">
        <f t="shared" si="27"/>
        <v>18</v>
      </c>
      <c r="AD41">
        <f t="shared" si="28"/>
        <v>39</v>
      </c>
      <c r="AE41">
        <v>56</v>
      </c>
      <c r="AF41">
        <v>61</v>
      </c>
      <c r="AG41">
        <v>48.501809999999999</v>
      </c>
      <c r="AH41">
        <v>72.863199999999992</v>
      </c>
      <c r="AI41" s="51">
        <f t="shared" si="11"/>
        <v>12.498190000000001</v>
      </c>
      <c r="AJ41" s="51">
        <f t="shared" si="12"/>
        <v>11.863199999999992</v>
      </c>
      <c r="AK41" s="51">
        <v>80</v>
      </c>
      <c r="AL41" s="135">
        <v>1</v>
      </c>
      <c r="AM41">
        <f>IF('AAA Summary'!$M$28=2, AF41, IF('AAA Summary'!$M$28=1,Z41))</f>
        <v>41</v>
      </c>
      <c r="AN41">
        <f>IF('AAA Summary'!$M$28=2, AI41, IF('AAA Summary'!$M$28=1,AC41))</f>
        <v>18</v>
      </c>
      <c r="AO41">
        <f>IF('AAA Summary'!$M$28=2, AJ41, IF('AAA Summary'!$M$28=1,AD41))</f>
        <v>39</v>
      </c>
      <c r="AP41">
        <f>IF('AAA Summary'!$M$28=2, AK41, IF('AAA Summary'!$M$28=1,AE41))</f>
        <v>56</v>
      </c>
    </row>
    <row r="42" spans="1:42" x14ac:dyDescent="0.25">
      <c r="A42" t="s">
        <v>92</v>
      </c>
      <c r="B42" s="74" t="s">
        <v>93</v>
      </c>
      <c r="C42" s="5">
        <v>41</v>
      </c>
      <c r="D42" s="5">
        <v>27</v>
      </c>
      <c r="E42" s="130">
        <v>0.93</v>
      </c>
      <c r="F42" s="130">
        <v>1</v>
      </c>
      <c r="G42" s="130">
        <v>0.92</v>
      </c>
      <c r="H42" s="130">
        <v>0.88</v>
      </c>
      <c r="I42" s="51">
        <f t="shared" si="19"/>
        <v>14</v>
      </c>
      <c r="J42" s="130">
        <v>0.66</v>
      </c>
      <c r="K42" s="130">
        <v>0.34</v>
      </c>
      <c r="L42" s="84" t="s">
        <v>187</v>
      </c>
      <c r="M42" s="84" t="s">
        <v>627</v>
      </c>
      <c r="N42" s="6">
        <v>8.0000000000000002E-3</v>
      </c>
      <c r="O42" t="str">
        <f t="shared" si="20"/>
        <v>RVJ</v>
      </c>
      <c r="P42" s="22">
        <f t="shared" si="21"/>
        <v>2</v>
      </c>
      <c r="Q42" s="22">
        <f t="shared" si="22"/>
        <v>4</v>
      </c>
      <c r="R42" s="22">
        <f t="shared" si="23"/>
        <v>2</v>
      </c>
      <c r="S42" s="22">
        <f t="shared" si="24"/>
        <v>2</v>
      </c>
      <c r="T42" s="40">
        <f>IF('AAA Summary'!$L$59=4, RANK(H42,H$8:H$79,1)+COUNTIF($H$8:H42,H42)-1, IF('AAA Summary'!$L$59=3, RANK(G42,G$8:G$79,1)+COUNTIF($G$8:G42,G42)-1, IF('AAA Summary'!$L$59=2, RANK(F42,F$8:F$79,1)+COUNTIF($F$8:F42,F42)-1, IF('AAA Summary'!$L$59=1, RANK(E42,E$8:E$79,1)+COUNTIF($E$8:E42,E42)-1))))</f>
        <v>28</v>
      </c>
      <c r="U42" s="28">
        <f>IF('AAA Summary'!$L$59=4, H42, IF('AAA Summary'!$L$59=3, G42, IF('AAA Summary'!$L$59=2, F42, IF('AAA Summary'!$L$59=1, E42))))</f>
        <v>0.93</v>
      </c>
      <c r="V42">
        <f t="shared" si="25"/>
        <v>24</v>
      </c>
      <c r="W42" s="9">
        <f t="shared" si="26"/>
        <v>66</v>
      </c>
      <c r="X42" s="84" t="s">
        <v>626</v>
      </c>
      <c r="Y42" s="131">
        <v>0.21</v>
      </c>
      <c r="Z42" s="9">
        <v>90</v>
      </c>
      <c r="AA42">
        <v>63</v>
      </c>
      <c r="AB42">
        <v>141</v>
      </c>
      <c r="AC42">
        <f t="shared" si="27"/>
        <v>27</v>
      </c>
      <c r="AD42">
        <f t="shared" si="28"/>
        <v>51</v>
      </c>
      <c r="AE42">
        <v>56</v>
      </c>
      <c r="AF42">
        <v>21</v>
      </c>
      <c r="AG42">
        <v>9.5541099999999997</v>
      </c>
      <c r="AH42">
        <v>37.318829999999998</v>
      </c>
      <c r="AI42" s="51">
        <f t="shared" si="11"/>
        <v>11.44589</v>
      </c>
      <c r="AJ42" s="51">
        <f t="shared" si="12"/>
        <v>16.318829999999998</v>
      </c>
      <c r="AK42" s="51">
        <v>80</v>
      </c>
      <c r="AL42" s="135">
        <v>37</v>
      </c>
      <c r="AM42">
        <f>IF('AAA Summary'!$M$28=2, AF42, IF('AAA Summary'!$M$28=1,Z42))</f>
        <v>90</v>
      </c>
      <c r="AN42">
        <f>IF('AAA Summary'!$M$28=2, AI42, IF('AAA Summary'!$M$28=1,AC42))</f>
        <v>27</v>
      </c>
      <c r="AO42">
        <f>IF('AAA Summary'!$M$28=2, AJ42, IF('AAA Summary'!$M$28=1,AD42))</f>
        <v>51</v>
      </c>
      <c r="AP42">
        <f>IF('AAA Summary'!$M$28=2, AK42, IF('AAA Summary'!$M$28=1,AE42))</f>
        <v>56</v>
      </c>
    </row>
    <row r="43" spans="1:42" x14ac:dyDescent="0.25">
      <c r="A43" t="s">
        <v>433</v>
      </c>
      <c r="B43" s="74" t="s">
        <v>353</v>
      </c>
      <c r="C43" s="5">
        <v>20</v>
      </c>
      <c r="D43" s="5">
        <v>9</v>
      </c>
      <c r="E43" s="130">
        <v>0.9</v>
      </c>
      <c r="F43" s="130">
        <v>1</v>
      </c>
      <c r="G43" s="130">
        <v>0.94</v>
      </c>
      <c r="H43" s="130">
        <v>0.9</v>
      </c>
      <c r="I43" s="51">
        <f t="shared" si="19"/>
        <v>11</v>
      </c>
      <c r="J43" s="130">
        <v>0.45</v>
      </c>
      <c r="K43" s="130">
        <v>0.55000000000000004</v>
      </c>
      <c r="L43" s="84" t="s">
        <v>193</v>
      </c>
      <c r="M43" s="84" t="s">
        <v>613</v>
      </c>
      <c r="N43" s="6">
        <v>0.04</v>
      </c>
      <c r="O43" t="str">
        <f t="shared" si="20"/>
        <v>RNN</v>
      </c>
      <c r="P43" s="22">
        <f t="shared" si="21"/>
        <v>2</v>
      </c>
      <c r="Q43" s="22">
        <f t="shared" si="22"/>
        <v>4</v>
      </c>
      <c r="R43" s="22">
        <f t="shared" si="23"/>
        <v>2</v>
      </c>
      <c r="S43" s="22">
        <f t="shared" si="24"/>
        <v>2</v>
      </c>
      <c r="T43" s="40">
        <f>IF('AAA Summary'!$L$59=4, RANK(H43,H$8:H$79,1)+COUNTIF($H$8:H43,H43)-1, IF('AAA Summary'!$L$59=3, RANK(G43,G$8:G$79,1)+COUNTIF($G$8:G43,G43)-1, IF('AAA Summary'!$L$59=2, RANK(F43,F$8:F$79,1)+COUNTIF($F$8:F43,F43)-1, IF('AAA Summary'!$L$59=1, RANK(E43,E$8:E$79,1)+COUNTIF($E$8:E43,E43)-1))))</f>
        <v>23</v>
      </c>
      <c r="U43" s="28">
        <f>IF('AAA Summary'!$L$59=4, H43, IF('AAA Summary'!$L$59=3, G43, IF('AAA Summary'!$L$59=2, F43, IF('AAA Summary'!$L$59=1, E43))))</f>
        <v>0.9</v>
      </c>
      <c r="V43">
        <f t="shared" si="25"/>
        <v>47</v>
      </c>
      <c r="W43" s="9">
        <f t="shared" si="26"/>
        <v>45</v>
      </c>
      <c r="X43" s="84" t="s">
        <v>612</v>
      </c>
      <c r="Y43" s="131">
        <v>0.22</v>
      </c>
      <c r="Z43" s="9">
        <v>93</v>
      </c>
      <c r="AA43">
        <v>62</v>
      </c>
      <c r="AB43">
        <v>194</v>
      </c>
      <c r="AC43">
        <f t="shared" si="27"/>
        <v>31</v>
      </c>
      <c r="AD43">
        <f t="shared" si="28"/>
        <v>101</v>
      </c>
      <c r="AE43">
        <v>56</v>
      </c>
      <c r="AF43">
        <v>22</v>
      </c>
      <c r="AG43">
        <v>6.4091999999999993</v>
      </c>
      <c r="AH43">
        <v>47.637279999999997</v>
      </c>
      <c r="AI43" s="51">
        <f t="shared" si="11"/>
        <v>15.590800000000002</v>
      </c>
      <c r="AJ43" s="51">
        <f t="shared" si="12"/>
        <v>25.637279999999997</v>
      </c>
      <c r="AK43" s="51">
        <v>80</v>
      </c>
      <c r="AL43" s="135">
        <v>39</v>
      </c>
      <c r="AM43">
        <f>IF('AAA Summary'!$M$28=2, AF43, IF('AAA Summary'!$M$28=1,Z43))</f>
        <v>93</v>
      </c>
      <c r="AN43">
        <f>IF('AAA Summary'!$M$28=2, AI43, IF('AAA Summary'!$M$28=1,AC43))</f>
        <v>31</v>
      </c>
      <c r="AO43">
        <f>IF('AAA Summary'!$M$28=2, AJ43, IF('AAA Summary'!$M$28=1,AD43))</f>
        <v>101</v>
      </c>
      <c r="AP43">
        <f>IF('AAA Summary'!$M$28=2, AK43, IF('AAA Summary'!$M$28=1,AE43))</f>
        <v>56</v>
      </c>
    </row>
    <row r="44" spans="1:42" x14ac:dyDescent="0.25">
      <c r="A44" t="s">
        <v>66</v>
      </c>
      <c r="B44" s="74" t="s">
        <v>67</v>
      </c>
      <c r="C44" s="5">
        <v>42</v>
      </c>
      <c r="D44" s="5">
        <v>21</v>
      </c>
      <c r="E44" s="130">
        <v>0.88</v>
      </c>
      <c r="F44" s="130">
        <v>0.9</v>
      </c>
      <c r="G44" s="130">
        <v>0.88</v>
      </c>
      <c r="H44" s="130">
        <v>0.76</v>
      </c>
      <c r="I44" s="51">
        <f t="shared" si="19"/>
        <v>21</v>
      </c>
      <c r="J44" s="130">
        <v>0.5</v>
      </c>
      <c r="K44" s="130">
        <v>0.5</v>
      </c>
      <c r="L44" s="84" t="s">
        <v>172</v>
      </c>
      <c r="M44" s="84" t="s">
        <v>615</v>
      </c>
      <c r="N44" s="6">
        <v>2.1000000000000001E-2</v>
      </c>
      <c r="O44" t="str">
        <f t="shared" si="20"/>
        <v>RNS</v>
      </c>
      <c r="P44" s="22">
        <f t="shared" si="21"/>
        <v>2</v>
      </c>
      <c r="Q44" s="22">
        <f t="shared" si="22"/>
        <v>1</v>
      </c>
      <c r="R44" s="22">
        <f t="shared" si="23"/>
        <v>2</v>
      </c>
      <c r="S44" s="22">
        <f t="shared" si="24"/>
        <v>1</v>
      </c>
      <c r="T44" s="40">
        <f>IF('AAA Summary'!$L$59=4, RANK(H44,H$8:H$79,1)+COUNTIF($H$8:H44,H44)-1, IF('AAA Summary'!$L$59=3, RANK(G44,G$8:G$79,1)+COUNTIF($G$8:G44,G44)-1, IF('AAA Summary'!$L$59=2, RANK(F44,F$8:F$79,1)+COUNTIF($F$8:F44,F44)-1, IF('AAA Summary'!$L$59=1, RANK(E44,E$8:E$79,1)+COUNTIF($E$8:E44,E44)-1))))</f>
        <v>18</v>
      </c>
      <c r="U44" s="28">
        <f>IF('AAA Summary'!$L$59=4, H44, IF('AAA Summary'!$L$59=3, G44, IF('AAA Summary'!$L$59=2, F44, IF('AAA Summary'!$L$59=1, E44))))</f>
        <v>0.88</v>
      </c>
      <c r="V44">
        <f t="shared" si="25"/>
        <v>42</v>
      </c>
      <c r="W44" s="9">
        <f t="shared" si="26"/>
        <v>50</v>
      </c>
      <c r="X44" s="84" t="s">
        <v>614</v>
      </c>
      <c r="Y44" s="131">
        <v>0.32</v>
      </c>
      <c r="Z44" s="9">
        <v>84</v>
      </c>
      <c r="AA44">
        <v>46</v>
      </c>
      <c r="AB44">
        <v>119</v>
      </c>
      <c r="AC44">
        <f t="shared" si="27"/>
        <v>38</v>
      </c>
      <c r="AD44">
        <f t="shared" si="28"/>
        <v>35</v>
      </c>
      <c r="AE44">
        <v>56</v>
      </c>
      <c r="AF44">
        <v>32</v>
      </c>
      <c r="AG44">
        <v>18.013860000000001</v>
      </c>
      <c r="AH44">
        <v>49.785330000000002</v>
      </c>
      <c r="AI44" s="51">
        <f t="shared" si="11"/>
        <v>13.986139999999999</v>
      </c>
      <c r="AJ44" s="51">
        <f t="shared" si="12"/>
        <v>17.785330000000002</v>
      </c>
      <c r="AK44" s="51">
        <v>80</v>
      </c>
      <c r="AL44" s="135">
        <v>31</v>
      </c>
      <c r="AM44">
        <f>IF('AAA Summary'!$M$28=2, AF44, IF('AAA Summary'!$M$28=1,Z44))</f>
        <v>84</v>
      </c>
      <c r="AN44">
        <f>IF('AAA Summary'!$M$28=2, AI44, IF('AAA Summary'!$M$28=1,AC44))</f>
        <v>38</v>
      </c>
      <c r="AO44">
        <f>IF('AAA Summary'!$M$28=2, AJ44, IF('AAA Summary'!$M$28=1,AD44))</f>
        <v>35</v>
      </c>
      <c r="AP44">
        <f>IF('AAA Summary'!$M$28=2, AK44, IF('AAA Summary'!$M$28=1,AE44))</f>
        <v>56</v>
      </c>
    </row>
    <row r="45" spans="1:42" x14ac:dyDescent="0.25">
      <c r="A45" t="s">
        <v>429</v>
      </c>
      <c r="B45" s="74" t="s">
        <v>430</v>
      </c>
      <c r="C45" s="5">
        <v>33</v>
      </c>
      <c r="D45" s="5">
        <v>24</v>
      </c>
      <c r="E45" s="130">
        <v>1</v>
      </c>
      <c r="F45" s="130">
        <v>0.97</v>
      </c>
      <c r="G45" s="130">
        <v>1</v>
      </c>
      <c r="H45" s="130">
        <v>1</v>
      </c>
      <c r="I45" s="51">
        <f t="shared" si="19"/>
        <v>9</v>
      </c>
      <c r="J45" s="130">
        <v>0.73</v>
      </c>
      <c r="K45" s="130">
        <v>0.27</v>
      </c>
      <c r="L45" s="84" t="s">
        <v>609</v>
      </c>
      <c r="M45" s="84" t="s">
        <v>272</v>
      </c>
      <c r="N45" s="6">
        <v>6.0000000000000001E-3</v>
      </c>
      <c r="O45" t="str">
        <f t="shared" si="20"/>
        <v>RM3</v>
      </c>
      <c r="P45" s="22">
        <f t="shared" si="21"/>
        <v>4</v>
      </c>
      <c r="Q45" s="22">
        <f t="shared" si="22"/>
        <v>2</v>
      </c>
      <c r="R45" s="22">
        <f t="shared" si="23"/>
        <v>4</v>
      </c>
      <c r="S45" s="22">
        <f t="shared" si="24"/>
        <v>4</v>
      </c>
      <c r="T45" s="40">
        <f>IF('AAA Summary'!$L$59=4, RANK(H45,H$8:H$79,1)+COUNTIF($H$8:H45,H45)-1, IF('AAA Summary'!$L$59=3, RANK(G45,G$8:G$79,1)+COUNTIF($G$8:G45,G45)-1, IF('AAA Summary'!$L$59=2, RANK(F45,F$8:F$79,1)+COUNTIF($F$8:F45,F45)-1, IF('AAA Summary'!$L$59=1, RANK(E45,E$8:E$79,1)+COUNTIF($E$8:E45,E45)-1))))</f>
        <v>59</v>
      </c>
      <c r="U45" s="28">
        <f>IF('AAA Summary'!$L$59=4, H45, IF('AAA Summary'!$L$59=3, G45, IF('AAA Summary'!$L$59=2, F45, IF('AAA Summary'!$L$59=1, E45))))</f>
        <v>1</v>
      </c>
      <c r="V45">
        <f t="shared" si="25"/>
        <v>16</v>
      </c>
      <c r="W45" s="9">
        <f t="shared" si="26"/>
        <v>73</v>
      </c>
      <c r="X45" s="84" t="s">
        <v>608</v>
      </c>
      <c r="Y45" s="131">
        <v>0.39</v>
      </c>
      <c r="Z45" s="9">
        <v>61</v>
      </c>
      <c r="AA45">
        <v>48</v>
      </c>
      <c r="AB45">
        <v>103</v>
      </c>
      <c r="AC45">
        <f t="shared" si="27"/>
        <v>13</v>
      </c>
      <c r="AD45">
        <f t="shared" si="28"/>
        <v>42</v>
      </c>
      <c r="AE45">
        <v>56</v>
      </c>
      <c r="AF45">
        <v>39</v>
      </c>
      <c r="AG45">
        <v>22.90662</v>
      </c>
      <c r="AH45">
        <v>57.86063</v>
      </c>
      <c r="AI45" s="51">
        <f t="shared" si="11"/>
        <v>16.09338</v>
      </c>
      <c r="AJ45" s="51">
        <f t="shared" si="12"/>
        <v>18.86063</v>
      </c>
      <c r="AK45" s="51">
        <v>80</v>
      </c>
      <c r="AL45" s="135">
        <v>13</v>
      </c>
      <c r="AM45">
        <f>IF('AAA Summary'!$M$28=2, AF45, IF('AAA Summary'!$M$28=1,Z45))</f>
        <v>61</v>
      </c>
      <c r="AN45">
        <f>IF('AAA Summary'!$M$28=2, AI45, IF('AAA Summary'!$M$28=1,AC45))</f>
        <v>13</v>
      </c>
      <c r="AO45">
        <f>IF('AAA Summary'!$M$28=2, AJ45, IF('AAA Summary'!$M$28=1,AD45))</f>
        <v>42</v>
      </c>
      <c r="AP45">
        <f>IF('AAA Summary'!$M$28=2, AK45, IF('AAA Summary'!$M$28=1,AE45))</f>
        <v>56</v>
      </c>
    </row>
    <row r="46" spans="1:42" x14ac:dyDescent="0.25">
      <c r="A46" t="s">
        <v>109</v>
      </c>
      <c r="B46" s="74" t="s">
        <v>110</v>
      </c>
      <c r="C46" s="5">
        <v>23</v>
      </c>
      <c r="D46" s="5">
        <v>10</v>
      </c>
      <c r="E46" s="130">
        <v>0.7</v>
      </c>
      <c r="F46" s="130">
        <v>0.96</v>
      </c>
      <c r="G46" s="130">
        <v>0.73</v>
      </c>
      <c r="H46" s="130">
        <v>0.74</v>
      </c>
      <c r="I46" s="51">
        <f t="shared" si="19"/>
        <v>13</v>
      </c>
      <c r="J46" s="130">
        <v>0.43</v>
      </c>
      <c r="K46" s="130">
        <v>0.56999999999999995</v>
      </c>
      <c r="L46" s="84" t="s">
        <v>640</v>
      </c>
      <c r="M46" s="84" t="s">
        <v>406</v>
      </c>
      <c r="N46" s="6">
        <v>4.4999999999999998E-2</v>
      </c>
      <c r="O46" t="str">
        <f t="shared" si="20"/>
        <v>RX1</v>
      </c>
      <c r="P46" s="22">
        <f t="shared" si="21"/>
        <v>1</v>
      </c>
      <c r="Q46" s="22">
        <f t="shared" si="22"/>
        <v>1</v>
      </c>
      <c r="R46" s="22">
        <f t="shared" si="23"/>
        <v>1</v>
      </c>
      <c r="S46" s="22">
        <f t="shared" si="24"/>
        <v>1</v>
      </c>
      <c r="T46" s="40">
        <f>IF('AAA Summary'!$L$59=4, RANK(H46,H$8:H$79,1)+COUNTIF($H$8:H46,H46)-1, IF('AAA Summary'!$L$59=3, RANK(G46,G$8:G$79,1)+COUNTIF($G$8:G46,G46)-1, IF('AAA Summary'!$L$59=2, RANK(F46,F$8:F$79,1)+COUNTIF($F$8:F46,F46)-1, IF('AAA Summary'!$L$59=1, RANK(E46,E$8:E$79,1)+COUNTIF($E$8:E46,E46)-1))))</f>
        <v>6</v>
      </c>
      <c r="U46" s="28">
        <f>IF('AAA Summary'!$L$59=4, H46, IF('AAA Summary'!$L$59=3, G46, IF('AAA Summary'!$L$59=2, F46, IF('AAA Summary'!$L$59=1, E46))))</f>
        <v>0.7</v>
      </c>
      <c r="V46">
        <f t="shared" si="25"/>
        <v>56</v>
      </c>
      <c r="W46" s="9">
        <f t="shared" si="26"/>
        <v>43</v>
      </c>
      <c r="X46" s="84" t="s">
        <v>639</v>
      </c>
      <c r="Y46" s="131">
        <v>0.31</v>
      </c>
      <c r="Z46" s="9">
        <v>86</v>
      </c>
      <c r="AA46">
        <v>53</v>
      </c>
      <c r="AB46">
        <v>110</v>
      </c>
      <c r="AC46">
        <f t="shared" si="27"/>
        <v>33</v>
      </c>
      <c r="AD46">
        <f t="shared" si="28"/>
        <v>24</v>
      </c>
      <c r="AE46">
        <v>56</v>
      </c>
      <c r="AF46">
        <v>31</v>
      </c>
      <c r="AG46">
        <v>11.017000000000001</v>
      </c>
      <c r="AH46">
        <v>58.662060000000004</v>
      </c>
      <c r="AI46" s="51">
        <f t="shared" si="11"/>
        <v>19.982999999999997</v>
      </c>
      <c r="AJ46" s="51">
        <f t="shared" si="12"/>
        <v>27.662060000000004</v>
      </c>
      <c r="AK46" s="51">
        <v>80</v>
      </c>
      <c r="AL46" s="135">
        <v>34</v>
      </c>
      <c r="AM46">
        <f>IF('AAA Summary'!$M$28=2, AF46, IF('AAA Summary'!$M$28=1,Z46))</f>
        <v>86</v>
      </c>
      <c r="AN46">
        <f>IF('AAA Summary'!$M$28=2, AI46, IF('AAA Summary'!$M$28=1,AC46))</f>
        <v>33</v>
      </c>
      <c r="AO46">
        <f>IF('AAA Summary'!$M$28=2, AJ46, IF('AAA Summary'!$M$28=1,AD46))</f>
        <v>24</v>
      </c>
      <c r="AP46">
        <f>IF('AAA Summary'!$M$28=2, AK46, IF('AAA Summary'!$M$28=1,AE46))</f>
        <v>56</v>
      </c>
    </row>
    <row r="47" spans="1:42" x14ac:dyDescent="0.25">
      <c r="A47" t="s">
        <v>88</v>
      </c>
      <c r="B47" s="74" t="s">
        <v>298</v>
      </c>
      <c r="C47" s="5">
        <v>67</v>
      </c>
      <c r="D47" s="5">
        <v>26</v>
      </c>
      <c r="E47" s="130">
        <v>0.96</v>
      </c>
      <c r="F47" s="130">
        <v>0.99</v>
      </c>
      <c r="G47" s="130">
        <v>0.95</v>
      </c>
      <c r="H47" s="130">
        <v>0.88</v>
      </c>
      <c r="I47" s="51">
        <f t="shared" si="19"/>
        <v>41</v>
      </c>
      <c r="J47" s="130">
        <v>0.39</v>
      </c>
      <c r="K47" s="130">
        <v>0.61</v>
      </c>
      <c r="L47" s="84" t="s">
        <v>189</v>
      </c>
      <c r="M47" s="84" t="s">
        <v>177</v>
      </c>
      <c r="N47" s="6">
        <v>6.0000000000000001E-3</v>
      </c>
      <c r="O47" t="str">
        <f t="shared" si="20"/>
        <v>RTH</v>
      </c>
      <c r="P47" s="22">
        <f t="shared" si="21"/>
        <v>3</v>
      </c>
      <c r="Q47" s="22">
        <f t="shared" si="22"/>
        <v>3</v>
      </c>
      <c r="R47" s="22">
        <f t="shared" si="23"/>
        <v>3</v>
      </c>
      <c r="S47" s="22">
        <f t="shared" si="24"/>
        <v>2</v>
      </c>
      <c r="T47" s="40">
        <f>IF('AAA Summary'!$L$59=4, RANK(H47,H$8:H$79,1)+COUNTIF($H$8:H47,H47)-1, IF('AAA Summary'!$L$59=3, RANK(G47,G$8:G$79,1)+COUNTIF($G$8:G47,G47)-1, IF('AAA Summary'!$L$59=2, RANK(F47,F$8:F$79,1)+COUNTIF($F$8:F47,F47)-1, IF('AAA Summary'!$L$59=1, RANK(E47,E$8:E$79,1)+COUNTIF($E$8:E47,E47)-1))))</f>
        <v>41</v>
      </c>
      <c r="U47" s="28">
        <f>IF('AAA Summary'!$L$59=4, H47, IF('AAA Summary'!$L$59=3, G47, IF('AAA Summary'!$L$59=2, F47, IF('AAA Summary'!$L$59=1, E47))))</f>
        <v>0.96</v>
      </c>
      <c r="V47">
        <f t="shared" si="25"/>
        <v>58</v>
      </c>
      <c r="W47" s="9">
        <f t="shared" si="26"/>
        <v>39</v>
      </c>
      <c r="X47" s="84" t="s">
        <v>624</v>
      </c>
      <c r="Y47" s="131">
        <v>0.22</v>
      </c>
      <c r="Z47" s="9">
        <v>118</v>
      </c>
      <c r="AA47">
        <v>63</v>
      </c>
      <c r="AB47">
        <v>193</v>
      </c>
      <c r="AC47">
        <f t="shared" si="27"/>
        <v>55</v>
      </c>
      <c r="AD47">
        <f t="shared" si="28"/>
        <v>75</v>
      </c>
      <c r="AE47">
        <v>56</v>
      </c>
      <c r="AF47">
        <v>22</v>
      </c>
      <c r="AG47">
        <v>12.506829999999999</v>
      </c>
      <c r="AH47">
        <v>33.969630000000002</v>
      </c>
      <c r="AI47" s="51">
        <f t="shared" si="11"/>
        <v>9.493170000000001</v>
      </c>
      <c r="AJ47" s="51">
        <f t="shared" si="12"/>
        <v>11.969630000000002</v>
      </c>
      <c r="AK47" s="51">
        <v>80</v>
      </c>
      <c r="AL47" s="135">
        <v>51</v>
      </c>
      <c r="AM47">
        <f>IF('AAA Summary'!$M$28=2, AF47, IF('AAA Summary'!$M$28=1,Z47))</f>
        <v>118</v>
      </c>
      <c r="AN47">
        <f>IF('AAA Summary'!$M$28=2, AI47, IF('AAA Summary'!$M$28=1,AC47))</f>
        <v>55</v>
      </c>
      <c r="AO47">
        <f>IF('AAA Summary'!$M$28=2, AJ47, IF('AAA Summary'!$M$28=1,AD47))</f>
        <v>75</v>
      </c>
      <c r="AP47">
        <f>IF('AAA Summary'!$M$28=2, AK47, IF('AAA Summary'!$M$28=1,AE47))</f>
        <v>56</v>
      </c>
    </row>
    <row r="48" spans="1:42" x14ac:dyDescent="0.25">
      <c r="A48" t="s">
        <v>71</v>
      </c>
      <c r="B48" s="74" t="s">
        <v>72</v>
      </c>
      <c r="C48" s="5">
        <v>9</v>
      </c>
      <c r="D48" s="5">
        <v>8</v>
      </c>
      <c r="E48" s="130">
        <v>0.89</v>
      </c>
      <c r="F48" s="130">
        <v>1</v>
      </c>
      <c r="G48" s="130">
        <v>0.86</v>
      </c>
      <c r="H48" s="130">
        <v>1</v>
      </c>
      <c r="I48" s="51">
        <f t="shared" si="19"/>
        <v>1</v>
      </c>
      <c r="J48" s="130">
        <v>0.89</v>
      </c>
      <c r="K48" s="130">
        <v>0.11</v>
      </c>
      <c r="L48" s="84" t="s">
        <v>617</v>
      </c>
      <c r="M48" s="84" t="s">
        <v>227</v>
      </c>
      <c r="N48" s="6">
        <v>0</v>
      </c>
      <c r="O48" t="str">
        <f t="shared" si="20"/>
        <v>RQW</v>
      </c>
      <c r="P48" s="22">
        <f t="shared" si="21"/>
        <v>2</v>
      </c>
      <c r="Q48" s="22">
        <f t="shared" si="22"/>
        <v>4</v>
      </c>
      <c r="R48" s="22">
        <f t="shared" si="23"/>
        <v>1</v>
      </c>
      <c r="S48" s="22">
        <f t="shared" si="24"/>
        <v>4</v>
      </c>
      <c r="T48" s="40">
        <f>IF('AAA Summary'!$L$59=4, RANK(H48,H$8:H$79,1)+COUNTIF($H$8:H48,H48)-1, IF('AAA Summary'!$L$59=3, RANK(G48,G$8:G$79,1)+COUNTIF($G$8:G48,G48)-1, IF('AAA Summary'!$L$59=2, RANK(F48,F$8:F$79,1)+COUNTIF($F$8:F48,F48)-1, IF('AAA Summary'!$L$59=1, RANK(E48,E$8:E$79,1)+COUNTIF($E$8:E48,E48)-1))))</f>
        <v>21</v>
      </c>
      <c r="U48" s="28">
        <f>IF('AAA Summary'!$L$59=4, H48, IF('AAA Summary'!$L$59=3, G48, IF('AAA Summary'!$L$59=2, F48, IF('AAA Summary'!$L$59=1, E48))))</f>
        <v>0.89</v>
      </c>
      <c r="V48">
        <f t="shared" si="25"/>
        <v>7</v>
      </c>
      <c r="W48" s="9">
        <f t="shared" si="26"/>
        <v>89</v>
      </c>
      <c r="X48" s="84" t="s">
        <v>227</v>
      </c>
      <c r="Y48" s="131" t="s">
        <v>227</v>
      </c>
      <c r="Z48" s="135" t="e">
        <v>#N/A</v>
      </c>
      <c r="AA48" s="135" t="e">
        <v>#N/A</v>
      </c>
      <c r="AB48" s="135" t="e">
        <v>#N/A</v>
      </c>
      <c r="AC48" s="135" t="e">
        <v>#N/A</v>
      </c>
      <c r="AD48" s="135" t="e">
        <v>#N/A</v>
      </c>
      <c r="AE48">
        <v>56</v>
      </c>
      <c r="AF48" s="135" t="e">
        <v>#N/A</v>
      </c>
      <c r="AG48" t="e">
        <v>#N/A</v>
      </c>
      <c r="AH48" t="e">
        <v>#N/A</v>
      </c>
      <c r="AI48" s="51" t="e">
        <f t="shared" ref="AI48" si="29">AF48-AG48</f>
        <v>#N/A</v>
      </c>
      <c r="AJ48" s="51" t="e">
        <f t="shared" ref="AJ48" si="30">AH48-AF48</f>
        <v>#N/A</v>
      </c>
      <c r="AK48" s="51">
        <v>80</v>
      </c>
      <c r="AL48" s="135" t="e">
        <v>#N/A</v>
      </c>
      <c r="AM48" t="e">
        <f>IF('AAA Summary'!$M$28=2, AF48, IF('AAA Summary'!$M$28=1,Z48))</f>
        <v>#N/A</v>
      </c>
      <c r="AN48" t="e">
        <f>IF('AAA Summary'!$M$28=2, AI48, IF('AAA Summary'!$M$28=1,AC48))</f>
        <v>#N/A</v>
      </c>
      <c r="AO48" t="e">
        <f>IF('AAA Summary'!$M$28=2, AJ48, IF('AAA Summary'!$M$28=1,AD48))</f>
        <v>#N/A</v>
      </c>
      <c r="AP48">
        <f>IF('AAA Summary'!$M$28=2, AK48, IF('AAA Summary'!$M$28=1,AE48))</f>
        <v>56</v>
      </c>
    </row>
    <row r="49" spans="1:42" x14ac:dyDescent="0.25">
      <c r="A49" t="s">
        <v>81</v>
      </c>
      <c r="B49" s="74" t="s">
        <v>82</v>
      </c>
      <c r="C49" s="5">
        <v>2</v>
      </c>
      <c r="D49" s="5">
        <v>1</v>
      </c>
      <c r="E49" s="130">
        <v>0.5</v>
      </c>
      <c r="F49" s="130">
        <v>1</v>
      </c>
      <c r="G49" s="130">
        <v>0</v>
      </c>
      <c r="H49" s="130">
        <v>0</v>
      </c>
      <c r="I49" s="51">
        <f t="shared" si="19"/>
        <v>1</v>
      </c>
      <c r="J49" s="130">
        <v>0.5</v>
      </c>
      <c r="K49" s="130">
        <v>0.5</v>
      </c>
      <c r="L49" s="84" t="s">
        <v>227</v>
      </c>
      <c r="M49" s="84" t="s">
        <v>227</v>
      </c>
      <c r="N49" s="6">
        <v>0</v>
      </c>
      <c r="O49" t="str">
        <f t="shared" si="20"/>
        <v>RT3</v>
      </c>
      <c r="P49" s="22">
        <f t="shared" si="21"/>
        <v>1</v>
      </c>
      <c r="Q49" s="22">
        <f t="shared" si="22"/>
        <v>4</v>
      </c>
      <c r="R49" s="22">
        <f t="shared" si="23"/>
        <v>1</v>
      </c>
      <c r="S49" s="22">
        <f t="shared" si="24"/>
        <v>1</v>
      </c>
      <c r="T49" s="40">
        <f>IF('AAA Summary'!$L$59=4, RANK(H49,H$8:H$79,1)+COUNTIF($H$8:H49,H49)-1, IF('AAA Summary'!$L$59=3, RANK(G49,G$8:G$79,1)+COUNTIF($G$8:G49,G49)-1, IF('AAA Summary'!$L$59=2, RANK(F49,F$8:F$79,1)+COUNTIF($F$8:F49,F49)-1, IF('AAA Summary'!$L$59=1, RANK(E49,E$8:E$79,1)+COUNTIF($E$8:E49,E49)-1))))</f>
        <v>2</v>
      </c>
      <c r="U49" s="28">
        <f>IF('AAA Summary'!$L$59=4, H49, IF('AAA Summary'!$L$59=3, G49, IF('AAA Summary'!$L$59=2, F49, IF('AAA Summary'!$L$59=1, E49))))</f>
        <v>0.5</v>
      </c>
      <c r="V49">
        <f t="shared" si="25"/>
        <v>42</v>
      </c>
      <c r="W49" s="9">
        <f t="shared" si="26"/>
        <v>50</v>
      </c>
      <c r="X49" s="84" t="s">
        <v>227</v>
      </c>
      <c r="Y49" s="131" t="s">
        <v>227</v>
      </c>
      <c r="Z49" t="s">
        <v>227</v>
      </c>
      <c r="AA49" t="e">
        <v>#VALUE!</v>
      </c>
      <c r="AB49" t="e">
        <v>#VALUE!</v>
      </c>
      <c r="AC49" t="e">
        <f t="shared" si="27"/>
        <v>#VALUE!</v>
      </c>
      <c r="AD49" t="e">
        <f t="shared" si="28"/>
        <v>#VALUE!</v>
      </c>
      <c r="AE49">
        <v>56</v>
      </c>
      <c r="AF49">
        <v>0</v>
      </c>
      <c r="AG49" t="e">
        <v>#N/A</v>
      </c>
      <c r="AH49" t="e">
        <v>#N/A</v>
      </c>
      <c r="AI49" s="51" t="e">
        <f t="shared" si="11"/>
        <v>#N/A</v>
      </c>
      <c r="AJ49" s="51" t="e">
        <f t="shared" si="12"/>
        <v>#N/A</v>
      </c>
      <c r="AK49" s="51">
        <v>80</v>
      </c>
      <c r="AL49" s="135" t="e">
        <v>#N/A</v>
      </c>
      <c r="AM49" t="str">
        <f>IF('AAA Summary'!$M$28=2, AF49, IF('AAA Summary'!$M$28=1,Z49))</f>
        <v>xx</v>
      </c>
      <c r="AN49" t="e">
        <f>IF('AAA Summary'!$M$28=2, AI49, IF('AAA Summary'!$M$28=1,AC49))</f>
        <v>#VALUE!</v>
      </c>
      <c r="AO49" t="e">
        <f>IF('AAA Summary'!$M$28=2, AJ49, IF('AAA Summary'!$M$28=1,AD49))</f>
        <v>#VALUE!</v>
      </c>
      <c r="AP49">
        <f>IF('AAA Summary'!$M$28=2, AK49, IF('AAA Summary'!$M$28=1,AE49))</f>
        <v>56</v>
      </c>
    </row>
    <row r="50" spans="1:42" x14ac:dyDescent="0.25">
      <c r="A50" t="s">
        <v>27</v>
      </c>
      <c r="B50" s="74" t="s">
        <v>28</v>
      </c>
      <c r="C50" s="5">
        <v>18</v>
      </c>
      <c r="D50" s="5">
        <v>8</v>
      </c>
      <c r="E50" s="130">
        <v>1</v>
      </c>
      <c r="F50" s="130">
        <v>1</v>
      </c>
      <c r="G50" s="130">
        <v>1</v>
      </c>
      <c r="H50" s="130">
        <v>1</v>
      </c>
      <c r="I50" s="51">
        <f t="shared" si="19"/>
        <v>10</v>
      </c>
      <c r="J50" s="130">
        <v>0.44</v>
      </c>
      <c r="K50" s="130">
        <v>0.56000000000000005</v>
      </c>
      <c r="L50" s="84" t="s">
        <v>427</v>
      </c>
      <c r="M50" s="84" t="s">
        <v>591</v>
      </c>
      <c r="N50" s="6">
        <v>0</v>
      </c>
      <c r="O50" t="str">
        <f t="shared" si="20"/>
        <v>REF</v>
      </c>
      <c r="P50" s="22">
        <f t="shared" si="21"/>
        <v>4</v>
      </c>
      <c r="Q50" s="22">
        <f t="shared" si="22"/>
        <v>4</v>
      </c>
      <c r="R50" s="22">
        <f t="shared" si="23"/>
        <v>4</v>
      </c>
      <c r="S50" s="22">
        <f t="shared" si="24"/>
        <v>4</v>
      </c>
      <c r="T50" s="40">
        <f>IF('AAA Summary'!$L$59=4, RANK(H50,H$8:H$79,1)+COUNTIF($H$8:H50,H50)-1, IF('AAA Summary'!$L$59=3, RANK(G50,G$8:G$79,1)+COUNTIF($G$8:G50,G50)-1, IF('AAA Summary'!$L$59=2, RANK(F50,F$8:F$79,1)+COUNTIF($F$8:F50,F50)-1, IF('AAA Summary'!$L$59=1, RANK(E50,E$8:E$79,1)+COUNTIF($E$8:E50,E50)-1))))</f>
        <v>60</v>
      </c>
      <c r="U50" s="28">
        <f>IF('AAA Summary'!$L$59=4, H50, IF('AAA Summary'!$L$59=3, G50, IF('AAA Summary'!$L$59=2, F50, IF('AAA Summary'!$L$59=1, E50))))</f>
        <v>1</v>
      </c>
      <c r="V50">
        <f t="shared" si="25"/>
        <v>53</v>
      </c>
      <c r="W50" s="9">
        <f t="shared" si="26"/>
        <v>44</v>
      </c>
      <c r="X50" s="84" t="s">
        <v>590</v>
      </c>
      <c r="Y50" s="131">
        <v>0.67</v>
      </c>
      <c r="Z50" s="9">
        <v>50</v>
      </c>
      <c r="AA50">
        <v>40</v>
      </c>
      <c r="AB50">
        <v>83</v>
      </c>
      <c r="AC50">
        <f t="shared" si="27"/>
        <v>10</v>
      </c>
      <c r="AD50">
        <f t="shared" si="28"/>
        <v>33</v>
      </c>
      <c r="AE50">
        <v>56</v>
      </c>
      <c r="AF50">
        <v>67</v>
      </c>
      <c r="AG50">
        <v>40.992530000000002</v>
      </c>
      <c r="AH50">
        <v>86.657260000000008</v>
      </c>
      <c r="AI50" s="51">
        <f t="shared" si="11"/>
        <v>26.007469999999998</v>
      </c>
      <c r="AJ50" s="51">
        <f t="shared" si="12"/>
        <v>19.657260000000008</v>
      </c>
      <c r="AK50" s="51">
        <v>80</v>
      </c>
      <c r="AL50" s="135">
        <v>4</v>
      </c>
      <c r="AM50">
        <f>IF('AAA Summary'!$M$28=2, AF50, IF('AAA Summary'!$M$28=1,Z50))</f>
        <v>50</v>
      </c>
      <c r="AN50">
        <f>IF('AAA Summary'!$M$28=2, AI50, IF('AAA Summary'!$M$28=1,AC50))</f>
        <v>10</v>
      </c>
      <c r="AO50">
        <f>IF('AAA Summary'!$M$28=2, AJ50, IF('AAA Summary'!$M$28=1,AD50))</f>
        <v>33</v>
      </c>
      <c r="AP50">
        <f>IF('AAA Summary'!$M$28=2, AK50, IF('AAA Summary'!$M$28=1,AE50))</f>
        <v>56</v>
      </c>
    </row>
    <row r="51" spans="1:42" x14ac:dyDescent="0.25">
      <c r="A51" t="s">
        <v>37</v>
      </c>
      <c r="B51" s="74" t="s">
        <v>596</v>
      </c>
      <c r="C51" s="5">
        <v>22</v>
      </c>
      <c r="D51" s="5">
        <v>6</v>
      </c>
      <c r="E51" s="130">
        <v>0.95</v>
      </c>
      <c r="F51" s="130">
        <v>1</v>
      </c>
      <c r="G51" s="130">
        <v>0.95</v>
      </c>
      <c r="H51" s="130">
        <v>0.95</v>
      </c>
      <c r="I51" s="51">
        <f t="shared" si="19"/>
        <v>16</v>
      </c>
      <c r="J51" s="130">
        <v>0.27</v>
      </c>
      <c r="K51" s="130">
        <v>0.73</v>
      </c>
      <c r="L51" s="84" t="s">
        <v>598</v>
      </c>
      <c r="M51" s="84" t="s">
        <v>201</v>
      </c>
      <c r="N51" s="6">
        <v>4.2999999999999997E-2</v>
      </c>
      <c r="O51" t="str">
        <f t="shared" si="20"/>
        <v>RH8</v>
      </c>
      <c r="P51" s="22">
        <f t="shared" si="21"/>
        <v>3</v>
      </c>
      <c r="Q51" s="22">
        <f t="shared" si="22"/>
        <v>4</v>
      </c>
      <c r="R51" s="22">
        <f t="shared" si="23"/>
        <v>3</v>
      </c>
      <c r="S51" s="22">
        <f t="shared" si="24"/>
        <v>3</v>
      </c>
      <c r="T51" s="40">
        <f>IF('AAA Summary'!$L$59=4, RANK(H51,H$8:H$79,1)+COUNTIF($H$8:H51,H51)-1, IF('AAA Summary'!$L$59=3, RANK(G51,G$8:G$79,1)+COUNTIF($G$8:G51,G51)-1, IF('AAA Summary'!$L$59=2, RANK(F51,F$8:F$79,1)+COUNTIF($F$8:F51,F51)-1, IF('AAA Summary'!$L$59=1, RANK(E51,E$8:E$79,1)+COUNTIF($E$8:E51,E51)-1))))</f>
        <v>36</v>
      </c>
      <c r="U51" s="28">
        <f>IF('AAA Summary'!$L$59=4, H51, IF('AAA Summary'!$L$59=3, G51, IF('AAA Summary'!$L$59=2, F51, IF('AAA Summary'!$L$59=1, E51))))</f>
        <v>0.95</v>
      </c>
      <c r="V51">
        <f t="shared" si="25"/>
        <v>63</v>
      </c>
      <c r="W51" s="9">
        <f t="shared" si="26"/>
        <v>27</v>
      </c>
      <c r="X51" s="84" t="s">
        <v>597</v>
      </c>
      <c r="Y51" s="131">
        <v>0.56999999999999995</v>
      </c>
      <c r="Z51" s="9">
        <v>47</v>
      </c>
      <c r="AA51">
        <v>35</v>
      </c>
      <c r="AB51">
        <v>68</v>
      </c>
      <c r="AC51">
        <f t="shared" si="27"/>
        <v>12</v>
      </c>
      <c r="AD51">
        <f t="shared" si="28"/>
        <v>21</v>
      </c>
      <c r="AE51">
        <v>56</v>
      </c>
      <c r="AF51">
        <v>56.999999999999993</v>
      </c>
      <c r="AG51">
        <v>34.020630000000004</v>
      </c>
      <c r="AH51">
        <v>78.180309999999992</v>
      </c>
      <c r="AI51" s="51">
        <f t="shared" si="11"/>
        <v>22.979369999999989</v>
      </c>
      <c r="AJ51" s="51">
        <f t="shared" si="12"/>
        <v>21.180309999999999</v>
      </c>
      <c r="AK51" s="51">
        <v>80</v>
      </c>
      <c r="AL51" s="135">
        <v>2</v>
      </c>
      <c r="AM51">
        <f>IF('AAA Summary'!$M$28=2, AF51, IF('AAA Summary'!$M$28=1,Z51))</f>
        <v>47</v>
      </c>
      <c r="AN51">
        <f>IF('AAA Summary'!$M$28=2, AI51, IF('AAA Summary'!$M$28=1,AC51))</f>
        <v>12</v>
      </c>
      <c r="AO51">
        <f>IF('AAA Summary'!$M$28=2, AJ51, IF('AAA Summary'!$M$28=1,AD51))</f>
        <v>21</v>
      </c>
      <c r="AP51">
        <f>IF('AAA Summary'!$M$28=2, AK51, IF('AAA Summary'!$M$28=1,AE51))</f>
        <v>56</v>
      </c>
    </row>
    <row r="52" spans="1:42" x14ac:dyDescent="0.25">
      <c r="A52" t="s">
        <v>18</v>
      </c>
      <c r="B52" s="74" t="s">
        <v>19</v>
      </c>
      <c r="C52" s="5">
        <v>30</v>
      </c>
      <c r="D52" s="5">
        <v>19</v>
      </c>
      <c r="E52" s="130">
        <v>0.63</v>
      </c>
      <c r="F52" s="130">
        <v>0.93</v>
      </c>
      <c r="G52" s="130">
        <v>0.62</v>
      </c>
      <c r="H52" s="130">
        <v>0.43</v>
      </c>
      <c r="I52" s="51">
        <f t="shared" si="19"/>
        <v>11</v>
      </c>
      <c r="J52" s="130">
        <v>0.63</v>
      </c>
      <c r="K52" s="130">
        <v>0.37</v>
      </c>
      <c r="L52" s="84" t="s">
        <v>187</v>
      </c>
      <c r="M52" s="84" t="s">
        <v>582</v>
      </c>
      <c r="N52" s="6">
        <v>2.1999999999999999E-2</v>
      </c>
      <c r="O52" t="str">
        <f t="shared" si="20"/>
        <v>RAL</v>
      </c>
      <c r="P52" s="22">
        <f t="shared" si="21"/>
        <v>1</v>
      </c>
      <c r="Q52" s="22">
        <f t="shared" si="22"/>
        <v>1</v>
      </c>
      <c r="R52" s="22">
        <f t="shared" si="23"/>
        <v>1</v>
      </c>
      <c r="S52" s="22">
        <f t="shared" si="24"/>
        <v>1</v>
      </c>
      <c r="T52" s="40">
        <f>IF('AAA Summary'!$L$59=4, RANK(H52,H$8:H$79,1)+COUNTIF($H$8:H52,H52)-1, IF('AAA Summary'!$L$59=3, RANK(G52,G$8:G$79,1)+COUNTIF($G$8:G52,G52)-1, IF('AAA Summary'!$L$59=2, RANK(F52,F$8:F$79,1)+COUNTIF($F$8:F52,F52)-1, IF('AAA Summary'!$L$59=1, RANK(E52,E$8:E$79,1)+COUNTIF($E$8:E52,E52)-1))))</f>
        <v>4</v>
      </c>
      <c r="U52" s="28">
        <f>IF('AAA Summary'!$L$59=4, H52, IF('AAA Summary'!$L$59=3, G52, IF('AAA Summary'!$L$59=2, F52, IF('AAA Summary'!$L$59=1, E52))))</f>
        <v>0.63</v>
      </c>
      <c r="V52">
        <f t="shared" si="25"/>
        <v>28</v>
      </c>
      <c r="W52" s="9">
        <f t="shared" si="26"/>
        <v>63</v>
      </c>
      <c r="X52" s="84" t="s">
        <v>581</v>
      </c>
      <c r="Y52" s="131">
        <v>0.32</v>
      </c>
      <c r="Z52" s="9">
        <v>104</v>
      </c>
      <c r="AA52">
        <v>55</v>
      </c>
      <c r="AB52">
        <v>189</v>
      </c>
      <c r="AC52">
        <f t="shared" si="27"/>
        <v>49</v>
      </c>
      <c r="AD52">
        <f t="shared" si="28"/>
        <v>85</v>
      </c>
      <c r="AE52">
        <v>56</v>
      </c>
      <c r="AF52">
        <v>32</v>
      </c>
      <c r="AG52">
        <v>12.57606</v>
      </c>
      <c r="AH52">
        <v>56.550160000000005</v>
      </c>
      <c r="AI52" s="51">
        <f t="shared" si="11"/>
        <v>19.423940000000002</v>
      </c>
      <c r="AJ52" s="51">
        <f t="shared" si="12"/>
        <v>24.550160000000005</v>
      </c>
      <c r="AK52" s="51">
        <v>80</v>
      </c>
      <c r="AL52" s="135">
        <v>46</v>
      </c>
      <c r="AM52">
        <f>IF('AAA Summary'!$M$28=2, AF52, IF('AAA Summary'!$M$28=1,Z52))</f>
        <v>104</v>
      </c>
      <c r="AN52">
        <f>IF('AAA Summary'!$M$28=2, AI52, IF('AAA Summary'!$M$28=1,AC52))</f>
        <v>49</v>
      </c>
      <c r="AO52">
        <f>IF('AAA Summary'!$M$28=2, AJ52, IF('AAA Summary'!$M$28=1,AD52))</f>
        <v>85</v>
      </c>
      <c r="AP52">
        <f>IF('AAA Summary'!$M$28=2, AK52, IF('AAA Summary'!$M$28=1,AE52))</f>
        <v>56</v>
      </c>
    </row>
    <row r="53" spans="1:42" x14ac:dyDescent="0.25">
      <c r="A53" t="s">
        <v>41</v>
      </c>
      <c r="B53" s="74" t="s">
        <v>42</v>
      </c>
      <c r="C53" s="5">
        <v>31</v>
      </c>
      <c r="D53" s="5">
        <v>12</v>
      </c>
      <c r="E53" s="130">
        <v>0.94</v>
      </c>
      <c r="F53" s="130">
        <v>1</v>
      </c>
      <c r="G53" s="130">
        <v>0.93</v>
      </c>
      <c r="H53" s="130">
        <v>0.84</v>
      </c>
      <c r="I53" s="51">
        <f t="shared" si="19"/>
        <v>19</v>
      </c>
      <c r="J53" s="130">
        <v>0.39</v>
      </c>
      <c r="K53" s="130">
        <v>0.61</v>
      </c>
      <c r="L53" s="84" t="s">
        <v>187</v>
      </c>
      <c r="M53" s="84" t="s">
        <v>191</v>
      </c>
      <c r="N53" s="6">
        <v>7.0000000000000001E-3</v>
      </c>
      <c r="O53" t="str">
        <f t="shared" si="20"/>
        <v>RHQ</v>
      </c>
      <c r="P53" s="22">
        <f t="shared" si="21"/>
        <v>2</v>
      </c>
      <c r="Q53" s="22">
        <f t="shared" si="22"/>
        <v>4</v>
      </c>
      <c r="R53" s="22">
        <f t="shared" si="23"/>
        <v>2</v>
      </c>
      <c r="S53" s="22">
        <f t="shared" si="24"/>
        <v>2</v>
      </c>
      <c r="T53" s="40">
        <f>IF('AAA Summary'!$L$59=4, RANK(H53,H$8:H$79,1)+COUNTIF($H$8:H53,H53)-1, IF('AAA Summary'!$L$59=3, RANK(G53,G$8:G$79,1)+COUNTIF($G$8:G53,G53)-1, IF('AAA Summary'!$L$59=2, RANK(F53,F$8:F$79,1)+COUNTIF($F$8:F53,F53)-1, IF('AAA Summary'!$L$59=1, RANK(E53,E$8:E$79,1)+COUNTIF($E$8:E53,E53)-1))))</f>
        <v>31</v>
      </c>
      <c r="U53" s="28">
        <f>IF('AAA Summary'!$L$59=4, H53, IF('AAA Summary'!$L$59=3, G53, IF('AAA Summary'!$L$59=2, F53, IF('AAA Summary'!$L$59=1, E53))))</f>
        <v>0.94</v>
      </c>
      <c r="V53">
        <f t="shared" si="25"/>
        <v>58</v>
      </c>
      <c r="W53" s="9">
        <f t="shared" si="26"/>
        <v>39</v>
      </c>
      <c r="X53" s="84" t="s">
        <v>600</v>
      </c>
      <c r="Y53" s="131">
        <v>0.52</v>
      </c>
      <c r="Z53" s="9">
        <v>56</v>
      </c>
      <c r="AA53">
        <v>35</v>
      </c>
      <c r="AB53">
        <v>101</v>
      </c>
      <c r="AC53">
        <f t="shared" si="27"/>
        <v>21</v>
      </c>
      <c r="AD53">
        <f t="shared" si="28"/>
        <v>45</v>
      </c>
      <c r="AE53">
        <v>56</v>
      </c>
      <c r="AF53">
        <v>52</v>
      </c>
      <c r="AG53">
        <v>32.531500000000001</v>
      </c>
      <c r="AH53">
        <v>70.551439999999999</v>
      </c>
      <c r="AI53" s="51">
        <f t="shared" si="11"/>
        <v>19.468499999999999</v>
      </c>
      <c r="AJ53" s="51">
        <f t="shared" si="12"/>
        <v>18.551439999999999</v>
      </c>
      <c r="AK53" s="51">
        <v>80</v>
      </c>
      <c r="AL53" s="135">
        <v>8</v>
      </c>
      <c r="AM53">
        <f>IF('AAA Summary'!$M$28=2, AF53, IF('AAA Summary'!$M$28=1,Z53))</f>
        <v>56</v>
      </c>
      <c r="AN53">
        <f>IF('AAA Summary'!$M$28=2, AI53, IF('AAA Summary'!$M$28=1,AC53))</f>
        <v>21</v>
      </c>
      <c r="AO53">
        <f>IF('AAA Summary'!$M$28=2, AJ53, IF('AAA Summary'!$M$28=1,AD53))</f>
        <v>45</v>
      </c>
      <c r="AP53">
        <f>IF('AAA Summary'!$M$28=2, AK53, IF('AAA Summary'!$M$28=1,AE53))</f>
        <v>56</v>
      </c>
    </row>
    <row r="54" spans="1:42" x14ac:dyDescent="0.25">
      <c r="A54" t="s">
        <v>117</v>
      </c>
      <c r="B54" s="74" t="s">
        <v>118</v>
      </c>
      <c r="C54" s="5">
        <v>33</v>
      </c>
      <c r="D54" s="5">
        <v>24</v>
      </c>
      <c r="E54" s="130">
        <v>0.97</v>
      </c>
      <c r="F54" s="130">
        <v>1</v>
      </c>
      <c r="G54" s="130">
        <v>1</v>
      </c>
      <c r="H54" s="130">
        <v>0.88</v>
      </c>
      <c r="I54" s="51">
        <f t="shared" si="19"/>
        <v>9</v>
      </c>
      <c r="J54" s="130">
        <v>0.73</v>
      </c>
      <c r="K54" s="130">
        <v>0.27</v>
      </c>
      <c r="L54" s="84" t="s">
        <v>407</v>
      </c>
      <c r="M54" s="84" t="s">
        <v>209</v>
      </c>
      <c r="N54" s="6">
        <v>0</v>
      </c>
      <c r="O54" t="str">
        <f t="shared" si="20"/>
        <v>RXW</v>
      </c>
      <c r="P54" s="22">
        <f t="shared" si="21"/>
        <v>3</v>
      </c>
      <c r="Q54" s="22">
        <f t="shared" si="22"/>
        <v>4</v>
      </c>
      <c r="R54" s="22">
        <f t="shared" si="23"/>
        <v>4</v>
      </c>
      <c r="S54" s="22">
        <f t="shared" si="24"/>
        <v>2</v>
      </c>
      <c r="T54" s="40">
        <f>IF('AAA Summary'!$L$59=4, RANK(H54,H$8:H$79,1)+COUNTIF($H$8:H54,H54)-1, IF('AAA Summary'!$L$59=3, RANK(G54,G$8:G$79,1)+COUNTIF($G$8:G54,G54)-1, IF('AAA Summary'!$L$59=2, RANK(F54,F$8:F$79,1)+COUNTIF($F$8:F54,F54)-1, IF('AAA Summary'!$L$59=1, RANK(E54,E$8:E$79,1)+COUNTIF($E$8:E54,E54)-1))))</f>
        <v>47</v>
      </c>
      <c r="U54" s="28">
        <f>IF('AAA Summary'!$L$59=4, H54, IF('AAA Summary'!$L$59=3, G54, IF('AAA Summary'!$L$59=2, F54, IF('AAA Summary'!$L$59=1, E54))))</f>
        <v>0.97</v>
      </c>
      <c r="V54">
        <f t="shared" si="25"/>
        <v>16</v>
      </c>
      <c r="W54" s="9">
        <f t="shared" si="26"/>
        <v>73</v>
      </c>
      <c r="X54" s="84" t="s">
        <v>643</v>
      </c>
      <c r="Y54" s="131">
        <v>0.44</v>
      </c>
      <c r="Z54" s="9">
        <v>75</v>
      </c>
      <c r="AA54">
        <v>44</v>
      </c>
      <c r="AB54">
        <v>153</v>
      </c>
      <c r="AC54">
        <f t="shared" si="27"/>
        <v>31</v>
      </c>
      <c r="AD54">
        <f t="shared" si="28"/>
        <v>78</v>
      </c>
      <c r="AE54">
        <v>56</v>
      </c>
      <c r="AF54">
        <v>44</v>
      </c>
      <c r="AG54">
        <v>26.363809999999997</v>
      </c>
      <c r="AH54">
        <v>62.337430000000005</v>
      </c>
      <c r="AI54" s="51">
        <f t="shared" si="11"/>
        <v>17.636190000000003</v>
      </c>
      <c r="AJ54" s="51">
        <f t="shared" si="12"/>
        <v>18.337430000000005</v>
      </c>
      <c r="AK54" s="51">
        <v>80</v>
      </c>
      <c r="AL54" s="135">
        <v>25</v>
      </c>
      <c r="AM54">
        <f>IF('AAA Summary'!$M$28=2, AF54, IF('AAA Summary'!$M$28=1,Z54))</f>
        <v>75</v>
      </c>
      <c r="AN54">
        <f>IF('AAA Summary'!$M$28=2, AI54, IF('AAA Summary'!$M$28=1,AC54))</f>
        <v>31</v>
      </c>
      <c r="AO54">
        <f>IF('AAA Summary'!$M$28=2, AJ54, IF('AAA Summary'!$M$28=1,AD54))</f>
        <v>78</v>
      </c>
      <c r="AP54">
        <f>IF('AAA Summary'!$M$28=2, AK54, IF('AAA Summary'!$M$28=1,AE54))</f>
        <v>56</v>
      </c>
    </row>
    <row r="55" spans="1:42" x14ac:dyDescent="0.25">
      <c r="A55" t="s">
        <v>348</v>
      </c>
      <c r="B55" s="74" t="s">
        <v>349</v>
      </c>
      <c r="C55" s="5">
        <v>48</v>
      </c>
      <c r="D55" s="5">
        <v>25</v>
      </c>
      <c r="E55" s="130">
        <v>1</v>
      </c>
      <c r="F55" s="130">
        <v>1</v>
      </c>
      <c r="G55" s="130">
        <v>1</v>
      </c>
      <c r="H55" s="130">
        <v>0.98</v>
      </c>
      <c r="I55" s="51">
        <f t="shared" si="19"/>
        <v>23</v>
      </c>
      <c r="J55" s="130">
        <v>0.52</v>
      </c>
      <c r="K55" s="130">
        <v>0.48</v>
      </c>
      <c r="L55" s="84" t="s">
        <v>176</v>
      </c>
      <c r="M55" s="84" t="s">
        <v>167</v>
      </c>
      <c r="N55" s="6">
        <v>7.0000000000000001E-3</v>
      </c>
      <c r="O55" t="str">
        <f t="shared" si="20"/>
        <v>RH5</v>
      </c>
      <c r="P55" s="22">
        <f t="shared" si="21"/>
        <v>4</v>
      </c>
      <c r="Q55" s="22">
        <f t="shared" si="22"/>
        <v>4</v>
      </c>
      <c r="R55" s="22">
        <f t="shared" si="23"/>
        <v>4</v>
      </c>
      <c r="S55" s="22">
        <f t="shared" si="24"/>
        <v>4</v>
      </c>
      <c r="T55" s="40">
        <f>IF('AAA Summary'!$L$59=4, RANK(H55,H$8:H$79,1)+COUNTIF($H$8:H55,H55)-1, IF('AAA Summary'!$L$59=3, RANK(G55,G$8:G$79,1)+COUNTIF($G$8:G55,G55)-1, IF('AAA Summary'!$L$59=2, RANK(F55,F$8:F$79,1)+COUNTIF($F$8:F55,F55)-1, IF('AAA Summary'!$L$59=1, RANK(E55,E$8:E$79,1)+COUNTIF($E$8:E55,E55)-1))))</f>
        <v>61</v>
      </c>
      <c r="U55" s="28">
        <f>IF('AAA Summary'!$L$59=4, H55, IF('AAA Summary'!$L$59=3, G55, IF('AAA Summary'!$L$59=2, F55, IF('AAA Summary'!$L$59=1, E55))))</f>
        <v>1</v>
      </c>
      <c r="V55">
        <f t="shared" si="25"/>
        <v>39</v>
      </c>
      <c r="W55" s="9">
        <f t="shared" si="26"/>
        <v>52</v>
      </c>
      <c r="X55" s="84" t="s">
        <v>595</v>
      </c>
      <c r="Y55" s="131">
        <v>0.42</v>
      </c>
      <c r="Z55" s="9">
        <v>69</v>
      </c>
      <c r="AA55">
        <v>47</v>
      </c>
      <c r="AB55">
        <v>111</v>
      </c>
      <c r="AC55">
        <f t="shared" si="27"/>
        <v>22</v>
      </c>
      <c r="AD55">
        <f t="shared" si="28"/>
        <v>42</v>
      </c>
      <c r="AE55">
        <v>56</v>
      </c>
      <c r="AF55">
        <v>42</v>
      </c>
      <c r="AG55">
        <v>27.612740000000002</v>
      </c>
      <c r="AH55">
        <v>56.786830000000002</v>
      </c>
      <c r="AI55" s="51">
        <f t="shared" si="11"/>
        <v>14.387259999999998</v>
      </c>
      <c r="AJ55" s="51">
        <f t="shared" si="12"/>
        <v>14.786830000000002</v>
      </c>
      <c r="AK55" s="51">
        <v>80</v>
      </c>
      <c r="AL55" s="135">
        <v>16</v>
      </c>
      <c r="AM55">
        <f>IF('AAA Summary'!$M$28=2, AF55, IF('AAA Summary'!$M$28=1,Z55))</f>
        <v>69</v>
      </c>
      <c r="AN55">
        <f>IF('AAA Summary'!$M$28=2, AI55, IF('AAA Summary'!$M$28=1,AC55))</f>
        <v>22</v>
      </c>
      <c r="AO55">
        <f>IF('AAA Summary'!$M$28=2, AJ55, IF('AAA Summary'!$M$28=1,AD55))</f>
        <v>42</v>
      </c>
      <c r="AP55">
        <f>IF('AAA Summary'!$M$28=2, AK55, IF('AAA Summary'!$M$28=1,AE55))</f>
        <v>56</v>
      </c>
    </row>
    <row r="56" spans="1:42" x14ac:dyDescent="0.25">
      <c r="A56" t="s">
        <v>90</v>
      </c>
      <c r="B56" s="74" t="s">
        <v>91</v>
      </c>
      <c r="C56" s="5">
        <v>43</v>
      </c>
      <c r="D56" s="5">
        <v>31</v>
      </c>
      <c r="E56" s="130">
        <v>0.91</v>
      </c>
      <c r="F56" s="130">
        <v>1</v>
      </c>
      <c r="G56" s="130">
        <v>0.92</v>
      </c>
      <c r="H56" s="130">
        <v>0.95</v>
      </c>
      <c r="I56" s="51">
        <f t="shared" si="19"/>
        <v>12</v>
      </c>
      <c r="J56" s="130">
        <v>0.72</v>
      </c>
      <c r="K56" s="130">
        <v>0.28000000000000003</v>
      </c>
      <c r="L56" s="84" t="s">
        <v>176</v>
      </c>
      <c r="M56" s="84" t="s">
        <v>272</v>
      </c>
      <c r="N56" s="6">
        <v>8.9999999999999993E-3</v>
      </c>
      <c r="O56" t="str">
        <f t="shared" si="20"/>
        <v>RTR</v>
      </c>
      <c r="P56" s="22">
        <f t="shared" si="21"/>
        <v>2</v>
      </c>
      <c r="Q56" s="22">
        <f t="shared" si="22"/>
        <v>4</v>
      </c>
      <c r="R56" s="22">
        <f t="shared" si="23"/>
        <v>2</v>
      </c>
      <c r="S56" s="22">
        <f t="shared" si="24"/>
        <v>3</v>
      </c>
      <c r="T56" s="40">
        <f>IF('AAA Summary'!$L$59=4, RANK(H56,H$8:H$79,1)+COUNTIF($H$8:H56,H56)-1, IF('AAA Summary'!$L$59=3, RANK(G56,G$8:G$79,1)+COUNTIF($G$8:G56,G56)-1, IF('AAA Summary'!$L$59=2, RANK(F56,F$8:F$79,1)+COUNTIF($F$8:F56,F56)-1, IF('AAA Summary'!$L$59=1, RANK(E56,E$8:E$79,1)+COUNTIF($E$8:E56,E56)-1))))</f>
        <v>25</v>
      </c>
      <c r="U56" s="28">
        <f>IF('AAA Summary'!$L$59=4, H56, IF('AAA Summary'!$L$59=3, G56, IF('AAA Summary'!$L$59=2, F56, IF('AAA Summary'!$L$59=1, E56))))</f>
        <v>0.91</v>
      </c>
      <c r="V56">
        <f t="shared" si="25"/>
        <v>18</v>
      </c>
      <c r="W56" s="9">
        <f t="shared" si="26"/>
        <v>72</v>
      </c>
      <c r="X56" s="84" t="s">
        <v>625</v>
      </c>
      <c r="Y56" s="131">
        <v>0.15</v>
      </c>
      <c r="Z56" s="9">
        <v>98</v>
      </c>
      <c r="AA56">
        <v>64</v>
      </c>
      <c r="AB56">
        <v>176</v>
      </c>
      <c r="AC56">
        <f t="shared" si="27"/>
        <v>34</v>
      </c>
      <c r="AD56">
        <f t="shared" si="28"/>
        <v>78</v>
      </c>
      <c r="AE56">
        <v>56</v>
      </c>
      <c r="AF56">
        <v>15</v>
      </c>
      <c r="AG56">
        <v>5.8624299999999998</v>
      </c>
      <c r="AH56">
        <v>30.527989999999999</v>
      </c>
      <c r="AI56" s="51">
        <f t="shared" si="11"/>
        <v>9.1375700000000002</v>
      </c>
      <c r="AJ56" s="51">
        <f t="shared" si="12"/>
        <v>15.527989999999999</v>
      </c>
      <c r="AK56" s="51">
        <v>80</v>
      </c>
      <c r="AL56" s="135">
        <v>42</v>
      </c>
      <c r="AM56">
        <f>IF('AAA Summary'!$M$28=2, AF56, IF('AAA Summary'!$M$28=1,Z56))</f>
        <v>98</v>
      </c>
      <c r="AN56">
        <f>IF('AAA Summary'!$M$28=2, AI56, IF('AAA Summary'!$M$28=1,AC56))</f>
        <v>34</v>
      </c>
      <c r="AO56">
        <f>IF('AAA Summary'!$M$28=2, AJ56, IF('AAA Summary'!$M$28=1,AD56))</f>
        <v>78</v>
      </c>
      <c r="AP56">
        <f>IF('AAA Summary'!$M$28=2, AK56, IF('AAA Summary'!$M$28=1,AE56))</f>
        <v>56</v>
      </c>
    </row>
    <row r="57" spans="1:42" x14ac:dyDescent="0.25">
      <c r="A57" t="s">
        <v>333</v>
      </c>
      <c r="B57" s="74" t="s">
        <v>334</v>
      </c>
      <c r="C57" s="5">
        <v>51</v>
      </c>
      <c r="D57" s="5">
        <v>41</v>
      </c>
      <c r="E57" s="130">
        <v>0.92</v>
      </c>
      <c r="F57" s="130">
        <v>0.98</v>
      </c>
      <c r="G57" s="130">
        <v>0.94</v>
      </c>
      <c r="H57" s="130">
        <v>0.94</v>
      </c>
      <c r="I57" s="51">
        <f t="shared" si="19"/>
        <v>10</v>
      </c>
      <c r="J57" s="130">
        <v>0.8</v>
      </c>
      <c r="K57" s="130">
        <v>0.2</v>
      </c>
      <c r="L57" s="84" t="s">
        <v>183</v>
      </c>
      <c r="M57" s="84" t="s">
        <v>222</v>
      </c>
      <c r="N57" s="6">
        <v>7.0000000000000001E-3</v>
      </c>
      <c r="O57" t="str">
        <f t="shared" si="20"/>
        <v>R0B</v>
      </c>
      <c r="P57" s="22">
        <f t="shared" si="21"/>
        <v>2</v>
      </c>
      <c r="Q57" s="22">
        <f t="shared" si="22"/>
        <v>2</v>
      </c>
      <c r="R57" s="22">
        <f t="shared" si="23"/>
        <v>2</v>
      </c>
      <c r="S57" s="22">
        <f t="shared" si="24"/>
        <v>3</v>
      </c>
      <c r="T57" s="40">
        <f>IF('AAA Summary'!$L$59=4, RANK(H57,H$8:H$79,1)+COUNTIF($H$8:H57,H57)-1, IF('AAA Summary'!$L$59=3, RANK(G57,G$8:G$79,1)+COUNTIF($G$8:G57,G57)-1, IF('AAA Summary'!$L$59=2, RANK(F57,F$8:F$79,1)+COUNTIF($F$8:F57,F57)-1, IF('AAA Summary'!$L$59=1, RANK(E57,E$8:E$79,1)+COUNTIF($E$8:E57,E57)-1))))</f>
        <v>26</v>
      </c>
      <c r="U57" s="28">
        <f>IF('AAA Summary'!$L$59=4, H57, IF('AAA Summary'!$L$59=3, G57, IF('AAA Summary'!$L$59=2, F57, IF('AAA Summary'!$L$59=1, E57))))</f>
        <v>0.92</v>
      </c>
      <c r="V57">
        <f t="shared" si="25"/>
        <v>13</v>
      </c>
      <c r="W57" s="9">
        <f t="shared" si="26"/>
        <v>80</v>
      </c>
      <c r="X57" s="84" t="s">
        <v>575</v>
      </c>
      <c r="Y57" s="131">
        <v>0.43</v>
      </c>
      <c r="Z57" s="9">
        <v>69</v>
      </c>
      <c r="AA57">
        <v>43</v>
      </c>
      <c r="AB57">
        <v>117</v>
      </c>
      <c r="AC57">
        <f t="shared" si="27"/>
        <v>26</v>
      </c>
      <c r="AD57">
        <f t="shared" si="28"/>
        <v>48</v>
      </c>
      <c r="AE57">
        <v>56</v>
      </c>
      <c r="AF57">
        <v>43</v>
      </c>
      <c r="AG57">
        <v>28.257900000000003</v>
      </c>
      <c r="AH57">
        <v>57.821520000000007</v>
      </c>
      <c r="AI57" s="51">
        <f t="shared" si="11"/>
        <v>14.742099999999997</v>
      </c>
      <c r="AJ57" s="51">
        <f t="shared" si="12"/>
        <v>14.821520000000007</v>
      </c>
      <c r="AK57" s="51">
        <v>80</v>
      </c>
      <c r="AL57" s="135">
        <v>19</v>
      </c>
      <c r="AM57">
        <f>IF('AAA Summary'!$M$28=2, AF57, IF('AAA Summary'!$M$28=1,Z57))</f>
        <v>69</v>
      </c>
      <c r="AN57">
        <f>IF('AAA Summary'!$M$28=2, AI57, IF('AAA Summary'!$M$28=1,AC57))</f>
        <v>26</v>
      </c>
      <c r="AO57">
        <f>IF('AAA Summary'!$M$28=2, AJ57, IF('AAA Summary'!$M$28=1,AD57))</f>
        <v>48</v>
      </c>
      <c r="AP57">
        <f>IF('AAA Summary'!$M$28=2, AK57, IF('AAA Summary'!$M$28=1,AE57))</f>
        <v>56</v>
      </c>
    </row>
    <row r="58" spans="1:42" x14ac:dyDescent="0.25">
      <c r="A58" t="s">
        <v>47</v>
      </c>
      <c r="B58" s="74" t="s">
        <v>48</v>
      </c>
      <c r="C58" s="5">
        <v>58</v>
      </c>
      <c r="D58" s="5">
        <v>55</v>
      </c>
      <c r="E58" s="130">
        <v>0.83</v>
      </c>
      <c r="F58" s="130">
        <v>1</v>
      </c>
      <c r="G58" s="130">
        <v>0.85</v>
      </c>
      <c r="H58" s="130">
        <v>0.86</v>
      </c>
      <c r="I58" s="51">
        <f t="shared" si="19"/>
        <v>3</v>
      </c>
      <c r="J58" s="130">
        <v>0.95</v>
      </c>
      <c r="K58" s="130">
        <v>0.05</v>
      </c>
      <c r="L58" s="84" t="s">
        <v>189</v>
      </c>
      <c r="M58" s="84" t="s">
        <v>227</v>
      </c>
      <c r="N58" s="6">
        <v>0</v>
      </c>
      <c r="O58" t="str">
        <f t="shared" si="20"/>
        <v>RJ7</v>
      </c>
      <c r="P58" s="22">
        <f t="shared" si="21"/>
        <v>1</v>
      </c>
      <c r="Q58" s="22">
        <f t="shared" si="22"/>
        <v>4</v>
      </c>
      <c r="R58" s="22">
        <f t="shared" si="23"/>
        <v>1</v>
      </c>
      <c r="S58" s="22">
        <f t="shared" si="24"/>
        <v>2</v>
      </c>
      <c r="T58" s="40">
        <f>IF('AAA Summary'!$L$59=4, RANK(H58,H$8:H$79,1)+COUNTIF($H$8:H58,H58)-1, IF('AAA Summary'!$L$59=3, RANK(G58,G$8:G$79,1)+COUNTIF($G$8:G58,G58)-1, IF('AAA Summary'!$L$59=2, RANK(F58,F$8:F$79,1)+COUNTIF($F$8:F58,F58)-1, IF('AAA Summary'!$L$59=1, RANK(E58,E$8:E$79,1)+COUNTIF($E$8:E58,E58)-1))))</f>
        <v>12</v>
      </c>
      <c r="U58" s="28">
        <f>IF('AAA Summary'!$L$59=4, H58, IF('AAA Summary'!$L$59=3, G58, IF('AAA Summary'!$L$59=2, F58, IF('AAA Summary'!$L$59=1, E58))))</f>
        <v>0.83</v>
      </c>
      <c r="V58">
        <f t="shared" si="25"/>
        <v>5</v>
      </c>
      <c r="W58" s="9">
        <f t="shared" si="26"/>
        <v>95</v>
      </c>
      <c r="X58" s="84" t="s">
        <v>602</v>
      </c>
      <c r="Y58" s="131">
        <v>0.33</v>
      </c>
      <c r="Z58" s="9">
        <v>74</v>
      </c>
      <c r="AA58">
        <v>49</v>
      </c>
      <c r="AB58">
        <v>103</v>
      </c>
      <c r="AC58">
        <f t="shared" si="27"/>
        <v>25</v>
      </c>
      <c r="AD58">
        <f t="shared" si="28"/>
        <v>29</v>
      </c>
      <c r="AE58">
        <v>56</v>
      </c>
      <c r="AF58">
        <v>33</v>
      </c>
      <c r="AG58">
        <v>20.395969999999998</v>
      </c>
      <c r="AH58">
        <v>48.410829999999997</v>
      </c>
      <c r="AI58" s="51">
        <f t="shared" si="11"/>
        <v>12.604030000000002</v>
      </c>
      <c r="AJ58" s="51">
        <f t="shared" si="12"/>
        <v>15.410829999999997</v>
      </c>
      <c r="AK58" s="51">
        <v>80</v>
      </c>
      <c r="AL58" s="135">
        <v>23</v>
      </c>
      <c r="AM58">
        <f>IF('AAA Summary'!$M$28=2, AF58, IF('AAA Summary'!$M$28=1,Z58))</f>
        <v>74</v>
      </c>
      <c r="AN58">
        <f>IF('AAA Summary'!$M$28=2, AI58, IF('AAA Summary'!$M$28=1,AC58))</f>
        <v>25</v>
      </c>
      <c r="AO58">
        <f>IF('AAA Summary'!$M$28=2, AJ58, IF('AAA Summary'!$M$28=1,AD58))</f>
        <v>29</v>
      </c>
      <c r="AP58">
        <f>IF('AAA Summary'!$M$28=2, AK58, IF('AAA Summary'!$M$28=1,AE58))</f>
        <v>56</v>
      </c>
    </row>
    <row r="59" spans="1:42" x14ac:dyDescent="0.25">
      <c r="A59" t="s">
        <v>2</v>
      </c>
      <c r="B59" s="74" t="s">
        <v>158</v>
      </c>
      <c r="C59" s="5">
        <v>53</v>
      </c>
      <c r="D59" s="5">
        <v>24</v>
      </c>
      <c r="E59" s="130">
        <v>0.98</v>
      </c>
      <c r="F59" s="130">
        <v>0.98</v>
      </c>
      <c r="G59" s="130">
        <v>0.98</v>
      </c>
      <c r="H59" s="130">
        <v>0.98</v>
      </c>
      <c r="I59" s="51">
        <f t="shared" si="19"/>
        <v>29</v>
      </c>
      <c r="J59" s="130">
        <v>0.45</v>
      </c>
      <c r="K59" s="130">
        <v>0.55000000000000004</v>
      </c>
      <c r="L59" s="84" t="s">
        <v>187</v>
      </c>
      <c r="M59" s="84" t="s">
        <v>209</v>
      </c>
      <c r="N59" s="6">
        <v>2.8000000000000001E-2</v>
      </c>
      <c r="O59" t="str">
        <f t="shared" si="20"/>
        <v>7A3</v>
      </c>
      <c r="P59" s="22">
        <f t="shared" si="21"/>
        <v>4</v>
      </c>
      <c r="Q59" s="22">
        <f t="shared" si="22"/>
        <v>2</v>
      </c>
      <c r="R59" s="22">
        <f t="shared" si="23"/>
        <v>3</v>
      </c>
      <c r="S59" s="22">
        <f t="shared" si="24"/>
        <v>4</v>
      </c>
      <c r="T59" s="40">
        <f>IF('AAA Summary'!$L$59=4, RANK(H59,H$8:H$79,1)+COUNTIF($H$8:H59,H59)-1, IF('AAA Summary'!$L$59=3, RANK(G59,G$8:G$79,1)+COUNTIF($G$8:G59,G59)-1, IF('AAA Summary'!$L$59=2, RANK(F59,F$8:F$79,1)+COUNTIF($F$8:F59,F59)-1, IF('AAA Summary'!$L$59=1, RANK(E59,E$8:E$79,1)+COUNTIF($E$8:E59,E59)-1))))</f>
        <v>50</v>
      </c>
      <c r="U59" s="28">
        <f>IF('AAA Summary'!$L$59=4, H59, IF('AAA Summary'!$L$59=3, G59, IF('AAA Summary'!$L$59=2, F59, IF('AAA Summary'!$L$59=1, E59))))</f>
        <v>0.98</v>
      </c>
      <c r="V59">
        <f t="shared" si="25"/>
        <v>47</v>
      </c>
      <c r="W59" s="9">
        <f t="shared" si="26"/>
        <v>45</v>
      </c>
      <c r="X59" s="84" t="s">
        <v>572</v>
      </c>
      <c r="Y59" s="131">
        <v>0.1</v>
      </c>
      <c r="Z59" s="9">
        <v>187</v>
      </c>
      <c r="AA59">
        <v>96</v>
      </c>
      <c r="AB59">
        <v>328</v>
      </c>
      <c r="AC59">
        <f t="shared" si="27"/>
        <v>91</v>
      </c>
      <c r="AD59">
        <f t="shared" si="28"/>
        <v>141</v>
      </c>
      <c r="AE59">
        <v>56</v>
      </c>
      <c r="AF59">
        <v>10</v>
      </c>
      <c r="AG59">
        <v>3.1964199999999998</v>
      </c>
      <c r="AH59">
        <v>21.02975</v>
      </c>
      <c r="AI59" s="51">
        <f t="shared" si="11"/>
        <v>6.8035800000000002</v>
      </c>
      <c r="AJ59" s="51">
        <f t="shared" si="12"/>
        <v>11.02975</v>
      </c>
      <c r="AK59" s="51">
        <v>80</v>
      </c>
      <c r="AL59" s="135">
        <v>59</v>
      </c>
      <c r="AM59">
        <f>IF('AAA Summary'!$M$28=2, AF59, IF('AAA Summary'!$M$28=1,Z59))</f>
        <v>187</v>
      </c>
      <c r="AN59">
        <f>IF('AAA Summary'!$M$28=2, AI59, IF('AAA Summary'!$M$28=1,AC59))</f>
        <v>91</v>
      </c>
      <c r="AO59">
        <f>IF('AAA Summary'!$M$28=2, AJ59, IF('AAA Summary'!$M$28=1,AD59))</f>
        <v>141</v>
      </c>
      <c r="AP59">
        <f>IF('AAA Summary'!$M$28=2, AK59, IF('AAA Summary'!$M$28=1,AE59))</f>
        <v>56</v>
      </c>
    </row>
    <row r="60" spans="1:42" x14ac:dyDescent="0.25">
      <c r="A60" t="s">
        <v>64</v>
      </c>
      <c r="B60" s="74" t="s">
        <v>65</v>
      </c>
      <c r="C60" s="5">
        <v>40</v>
      </c>
      <c r="D60" s="5">
        <v>25</v>
      </c>
      <c r="E60" s="130">
        <v>0.8</v>
      </c>
      <c r="F60" s="130">
        <v>0.98</v>
      </c>
      <c r="G60" s="130">
        <v>0.84</v>
      </c>
      <c r="H60" s="130">
        <v>0.7</v>
      </c>
      <c r="I60" s="51">
        <f t="shared" si="19"/>
        <v>15</v>
      </c>
      <c r="J60" s="130">
        <v>0.63</v>
      </c>
      <c r="K60" s="130">
        <v>0.38</v>
      </c>
      <c r="L60" s="84" t="s">
        <v>189</v>
      </c>
      <c r="M60" s="84" t="s">
        <v>611</v>
      </c>
      <c r="N60" s="6">
        <v>8.0000000000000002E-3</v>
      </c>
      <c r="O60" t="str">
        <f t="shared" si="20"/>
        <v>RNA</v>
      </c>
      <c r="P60" s="22">
        <f t="shared" si="21"/>
        <v>1</v>
      </c>
      <c r="Q60" s="22">
        <f t="shared" si="22"/>
        <v>2</v>
      </c>
      <c r="R60" s="22">
        <f t="shared" si="23"/>
        <v>1</v>
      </c>
      <c r="S60" s="22">
        <f t="shared" si="24"/>
        <v>1</v>
      </c>
      <c r="T60" s="40">
        <f>IF('AAA Summary'!$L$59=4, RANK(H60,H$8:H$79,1)+COUNTIF($H$8:H60,H60)-1, IF('AAA Summary'!$L$59=3, RANK(G60,G$8:G$79,1)+COUNTIF($G$8:G60,G60)-1, IF('AAA Summary'!$L$59=2, RANK(F60,F$8:F$79,1)+COUNTIF($F$8:F60,F60)-1, IF('AAA Summary'!$L$59=1, RANK(E60,E$8:E$79,1)+COUNTIF($E$8:E60,E60)-1))))</f>
        <v>9</v>
      </c>
      <c r="U60" s="28">
        <f>IF('AAA Summary'!$L$59=4, H60, IF('AAA Summary'!$L$59=3, G60, IF('AAA Summary'!$L$59=2, F60, IF('AAA Summary'!$L$59=1, E60))))</f>
        <v>0.8</v>
      </c>
      <c r="V60">
        <f t="shared" si="25"/>
        <v>28</v>
      </c>
      <c r="W60" s="9">
        <f t="shared" si="26"/>
        <v>63</v>
      </c>
      <c r="X60" s="84" t="s">
        <v>610</v>
      </c>
      <c r="Y60" s="131">
        <v>0.53</v>
      </c>
      <c r="Z60" s="9">
        <v>48</v>
      </c>
      <c r="AA60">
        <v>14</v>
      </c>
      <c r="AB60">
        <v>115</v>
      </c>
      <c r="AC60">
        <f t="shared" si="27"/>
        <v>34</v>
      </c>
      <c r="AD60">
        <f t="shared" si="28"/>
        <v>67</v>
      </c>
      <c r="AE60">
        <v>56</v>
      </c>
      <c r="AF60">
        <v>53</v>
      </c>
      <c r="AG60">
        <v>34.743679999999998</v>
      </c>
      <c r="AH60">
        <v>70.906019999999998</v>
      </c>
      <c r="AI60" s="51">
        <f t="shared" si="11"/>
        <v>18.256320000000002</v>
      </c>
      <c r="AJ60" s="51">
        <f t="shared" si="12"/>
        <v>17.906019999999998</v>
      </c>
      <c r="AK60" s="51">
        <v>80</v>
      </c>
      <c r="AL60" s="135">
        <v>3</v>
      </c>
      <c r="AM60">
        <f>IF('AAA Summary'!$M$28=2, AF60, IF('AAA Summary'!$M$28=1,Z60))</f>
        <v>48</v>
      </c>
      <c r="AN60">
        <f>IF('AAA Summary'!$M$28=2, AI60, IF('AAA Summary'!$M$28=1,AC60))</f>
        <v>34</v>
      </c>
      <c r="AO60">
        <f>IF('AAA Summary'!$M$28=2, AJ60, IF('AAA Summary'!$M$28=1,AD60))</f>
        <v>67</v>
      </c>
      <c r="AP60">
        <f>IF('AAA Summary'!$M$28=2, AK60, IF('AAA Summary'!$M$28=1,AE60))</f>
        <v>56</v>
      </c>
    </row>
    <row r="61" spans="1:42" x14ac:dyDescent="0.25">
      <c r="A61" t="s">
        <v>13</v>
      </c>
      <c r="B61" s="74" t="s">
        <v>14</v>
      </c>
      <c r="C61" s="5">
        <v>3</v>
      </c>
      <c r="D61" s="5">
        <v>3</v>
      </c>
      <c r="E61" s="130">
        <v>1</v>
      </c>
      <c r="F61" s="130">
        <v>1</v>
      </c>
      <c r="G61" s="130">
        <v>1</v>
      </c>
      <c r="H61" s="130">
        <v>1</v>
      </c>
      <c r="I61" s="51">
        <f t="shared" si="19"/>
        <v>0</v>
      </c>
      <c r="J61" s="130">
        <v>1</v>
      </c>
      <c r="K61" s="130">
        <v>0</v>
      </c>
      <c r="L61" s="84" t="s">
        <v>227</v>
      </c>
      <c r="M61" s="84" t="s">
        <v>220</v>
      </c>
      <c r="N61" s="6">
        <v>0</v>
      </c>
      <c r="O61" t="str">
        <f t="shared" si="20"/>
        <v>RA9</v>
      </c>
      <c r="P61" s="22">
        <f t="shared" si="21"/>
        <v>4</v>
      </c>
      <c r="Q61" s="22">
        <f t="shared" si="22"/>
        <v>4</v>
      </c>
      <c r="R61" s="22">
        <f t="shared" si="23"/>
        <v>4</v>
      </c>
      <c r="S61" s="22">
        <f t="shared" si="24"/>
        <v>4</v>
      </c>
      <c r="T61" s="40">
        <f>IF('AAA Summary'!$L$59=4, RANK(H61,H$8:H$79,1)+COUNTIF($H$8:H61,H61)-1, IF('AAA Summary'!$L$59=3, RANK(G61,G$8:G$79,1)+COUNTIF($G$8:G61,G61)-1, IF('AAA Summary'!$L$59=2, RANK(F61,F$8:F$79,1)+COUNTIF($F$8:F61,F61)-1, IF('AAA Summary'!$L$59=1, RANK(E61,E$8:E$79,1)+COUNTIF($E$8:E61,E61)-1))))</f>
        <v>62</v>
      </c>
      <c r="U61" s="28">
        <f>IF('AAA Summary'!$L$59=4, H61, IF('AAA Summary'!$L$59=3, G61, IF('AAA Summary'!$L$59=2, F61, IF('AAA Summary'!$L$59=1, E61))))</f>
        <v>1</v>
      </c>
      <c r="V61">
        <f t="shared" si="25"/>
        <v>1</v>
      </c>
      <c r="W61" s="9">
        <f t="shared" si="26"/>
        <v>100</v>
      </c>
      <c r="X61" s="84" t="s">
        <v>227</v>
      </c>
      <c r="Y61" s="131" t="s">
        <v>227</v>
      </c>
      <c r="Z61" s="135" t="e">
        <v>#N/A</v>
      </c>
      <c r="AA61" s="135" t="e">
        <v>#N/A</v>
      </c>
      <c r="AB61" s="135" t="e">
        <v>#N/A</v>
      </c>
      <c r="AC61" s="135" t="e">
        <v>#N/A</v>
      </c>
      <c r="AD61" s="135" t="e">
        <v>#N/A</v>
      </c>
      <c r="AE61">
        <v>56</v>
      </c>
      <c r="AF61" s="135" t="e">
        <v>#N/A</v>
      </c>
      <c r="AG61" t="e">
        <v>#N/A</v>
      </c>
      <c r="AH61" t="e">
        <v>#N/A</v>
      </c>
      <c r="AI61" s="51" t="e">
        <f t="shared" ref="AI61" si="31">AF61-AG61</f>
        <v>#N/A</v>
      </c>
      <c r="AJ61" s="51" t="e">
        <f t="shared" ref="AJ61" si="32">AH61-AF61</f>
        <v>#N/A</v>
      </c>
      <c r="AK61" s="51">
        <v>80</v>
      </c>
      <c r="AL61" s="135" t="e">
        <v>#N/A</v>
      </c>
      <c r="AM61" t="e">
        <f>IF('AAA Summary'!$M$28=2, AF61, IF('AAA Summary'!$M$28=1,Z61))</f>
        <v>#N/A</v>
      </c>
      <c r="AN61" t="e">
        <f>IF('AAA Summary'!$M$28=2, AI61, IF('AAA Summary'!$M$28=1,AC61))</f>
        <v>#N/A</v>
      </c>
      <c r="AO61" t="e">
        <f>IF('AAA Summary'!$M$28=2, AJ61, IF('AAA Summary'!$M$28=1,AD61))</f>
        <v>#N/A</v>
      </c>
      <c r="AP61">
        <f>IF('AAA Summary'!$M$28=2, AK61, IF('AAA Summary'!$M$28=1,AE61))</f>
        <v>56</v>
      </c>
    </row>
    <row r="62" spans="1:42" x14ac:dyDescent="0.25">
      <c r="A62" t="s">
        <v>97</v>
      </c>
      <c r="B62" s="74" t="s">
        <v>98</v>
      </c>
      <c r="C62" s="5">
        <v>29</v>
      </c>
      <c r="D62" s="5">
        <v>13</v>
      </c>
      <c r="E62" s="130">
        <v>0.97</v>
      </c>
      <c r="F62" s="130">
        <v>1</v>
      </c>
      <c r="G62" s="130">
        <v>0.96</v>
      </c>
      <c r="H62" s="130">
        <v>1</v>
      </c>
      <c r="I62" s="51">
        <f t="shared" si="19"/>
        <v>16</v>
      </c>
      <c r="J62" s="130">
        <v>0.45</v>
      </c>
      <c r="K62" s="130">
        <v>0.55000000000000004</v>
      </c>
      <c r="L62" s="84" t="s">
        <v>187</v>
      </c>
      <c r="M62" s="84" t="s">
        <v>622</v>
      </c>
      <c r="N62" s="6">
        <v>2.4E-2</v>
      </c>
      <c r="O62" t="str">
        <f t="shared" si="20"/>
        <v>RWD</v>
      </c>
      <c r="P62" s="22">
        <f t="shared" si="21"/>
        <v>3</v>
      </c>
      <c r="Q62" s="22">
        <f t="shared" si="22"/>
        <v>4</v>
      </c>
      <c r="R62" s="22">
        <f t="shared" si="23"/>
        <v>3</v>
      </c>
      <c r="S62" s="22">
        <f t="shared" si="24"/>
        <v>4</v>
      </c>
      <c r="T62" s="40">
        <f>IF('AAA Summary'!$L$59=4, RANK(H62,H$8:H$79,1)+COUNTIF($H$8:H62,H62)-1, IF('AAA Summary'!$L$59=3, RANK(G62,G$8:G$79,1)+COUNTIF($G$8:G62,G62)-1, IF('AAA Summary'!$L$59=2, RANK(F62,F$8:F$79,1)+COUNTIF($F$8:F62,F62)-1, IF('AAA Summary'!$L$59=1, RANK(E62,E$8:E$79,1)+COUNTIF($E$8:E62,E62)-1))))</f>
        <v>48</v>
      </c>
      <c r="U62" s="28">
        <f>IF('AAA Summary'!$L$59=4, H62, IF('AAA Summary'!$L$59=3, G62, IF('AAA Summary'!$L$59=2, F62, IF('AAA Summary'!$L$59=1, E62))))</f>
        <v>0.97</v>
      </c>
      <c r="V62">
        <f t="shared" si="25"/>
        <v>47</v>
      </c>
      <c r="W62" s="9">
        <f t="shared" si="26"/>
        <v>45</v>
      </c>
      <c r="X62" s="84" t="s">
        <v>632</v>
      </c>
      <c r="Y62" s="131">
        <v>0.21</v>
      </c>
      <c r="Z62" s="9">
        <v>106</v>
      </c>
      <c r="AA62">
        <v>59</v>
      </c>
      <c r="AB62">
        <v>186</v>
      </c>
      <c r="AC62">
        <f t="shared" si="27"/>
        <v>47</v>
      </c>
      <c r="AD62">
        <f t="shared" si="28"/>
        <v>80</v>
      </c>
      <c r="AE62">
        <v>56</v>
      </c>
      <c r="AF62">
        <v>21</v>
      </c>
      <c r="AG62">
        <v>8.2960599999999989</v>
      </c>
      <c r="AH62">
        <v>40.953099999999999</v>
      </c>
      <c r="AI62" s="51">
        <f t="shared" si="11"/>
        <v>12.703940000000001</v>
      </c>
      <c r="AJ62" s="51">
        <f t="shared" si="12"/>
        <v>19.953099999999999</v>
      </c>
      <c r="AK62" s="51">
        <v>80</v>
      </c>
      <c r="AL62" s="135">
        <v>47</v>
      </c>
      <c r="AM62">
        <f>IF('AAA Summary'!$M$28=2, AF62, IF('AAA Summary'!$M$28=1,Z62))</f>
        <v>106</v>
      </c>
      <c r="AN62">
        <f>IF('AAA Summary'!$M$28=2, AI62, IF('AAA Summary'!$M$28=1,AC62))</f>
        <v>47</v>
      </c>
      <c r="AO62">
        <f>IF('AAA Summary'!$M$28=2, AJ62, IF('AAA Summary'!$M$28=1,AD62))</f>
        <v>80</v>
      </c>
      <c r="AP62">
        <f>IF('AAA Summary'!$M$28=2, AK62, IF('AAA Summary'!$M$28=1,AE62))</f>
        <v>56</v>
      </c>
    </row>
    <row r="63" spans="1:42" x14ac:dyDescent="0.25">
      <c r="A63" t="s">
        <v>49</v>
      </c>
      <c r="B63" s="74" t="s">
        <v>50</v>
      </c>
      <c r="C63" s="5">
        <v>99</v>
      </c>
      <c r="D63" s="5">
        <v>53</v>
      </c>
      <c r="E63" s="130">
        <v>0.99</v>
      </c>
      <c r="F63" s="130">
        <v>0.99</v>
      </c>
      <c r="G63" s="130">
        <v>1</v>
      </c>
      <c r="H63" s="130">
        <v>0.9</v>
      </c>
      <c r="I63" s="51">
        <f t="shared" si="19"/>
        <v>46</v>
      </c>
      <c r="J63" s="130">
        <v>0.54</v>
      </c>
      <c r="K63" s="130">
        <v>0.46</v>
      </c>
      <c r="L63" s="84" t="s">
        <v>172</v>
      </c>
      <c r="M63" s="84" t="s">
        <v>177</v>
      </c>
      <c r="N63" s="6">
        <v>3.3000000000000002E-2</v>
      </c>
      <c r="O63" t="str">
        <f t="shared" si="20"/>
        <v>RJE</v>
      </c>
      <c r="P63" s="22">
        <f t="shared" si="21"/>
        <v>4</v>
      </c>
      <c r="Q63" s="22">
        <f t="shared" si="22"/>
        <v>3</v>
      </c>
      <c r="R63" s="22">
        <f t="shared" si="23"/>
        <v>4</v>
      </c>
      <c r="S63" s="22">
        <f t="shared" si="24"/>
        <v>2</v>
      </c>
      <c r="T63" s="40">
        <f>IF('AAA Summary'!$L$59=4, RANK(H63,H$8:H$79,1)+COUNTIF($H$8:H63,H63)-1, IF('AAA Summary'!$L$59=3, RANK(G63,G$8:G$79,1)+COUNTIF($G$8:G63,G63)-1, IF('AAA Summary'!$L$59=2, RANK(F63,F$8:F$79,1)+COUNTIF($F$8:F63,F63)-1, IF('AAA Summary'!$L$59=1, RANK(E63,E$8:E$79,1)+COUNTIF($E$8:E63,E63)-1))))</f>
        <v>52</v>
      </c>
      <c r="U63" s="28">
        <f>IF('AAA Summary'!$L$59=4, H63, IF('AAA Summary'!$L$59=3, G63, IF('AAA Summary'!$L$59=2, F63, IF('AAA Summary'!$L$59=1, E63))))</f>
        <v>0.99</v>
      </c>
      <c r="V63">
        <f t="shared" si="25"/>
        <v>38</v>
      </c>
      <c r="W63" s="9">
        <f t="shared" si="26"/>
        <v>54</v>
      </c>
      <c r="X63" s="84" t="s">
        <v>603</v>
      </c>
      <c r="Y63" s="131">
        <v>0.3</v>
      </c>
      <c r="Z63" s="9">
        <v>103</v>
      </c>
      <c r="AA63">
        <v>43</v>
      </c>
      <c r="AB63">
        <v>182</v>
      </c>
      <c r="AC63">
        <f t="shared" si="27"/>
        <v>60</v>
      </c>
      <c r="AD63">
        <f t="shared" si="28"/>
        <v>79</v>
      </c>
      <c r="AE63">
        <v>56</v>
      </c>
      <c r="AF63">
        <v>30</v>
      </c>
      <c r="AG63">
        <v>20.794969999999999</v>
      </c>
      <c r="AH63">
        <v>39.661960000000001</v>
      </c>
      <c r="AI63" s="51">
        <f t="shared" si="11"/>
        <v>9.2050300000000007</v>
      </c>
      <c r="AJ63" s="51">
        <f t="shared" si="12"/>
        <v>9.6619600000000005</v>
      </c>
      <c r="AK63" s="51">
        <v>80</v>
      </c>
      <c r="AL63" s="135">
        <v>44</v>
      </c>
      <c r="AM63">
        <f>IF('AAA Summary'!$M$28=2, AF63, IF('AAA Summary'!$M$28=1,Z63))</f>
        <v>103</v>
      </c>
      <c r="AN63">
        <f>IF('AAA Summary'!$M$28=2, AI63, IF('AAA Summary'!$M$28=1,AC63))</f>
        <v>60</v>
      </c>
      <c r="AO63">
        <f>IF('AAA Summary'!$M$28=2, AJ63, IF('AAA Summary'!$M$28=1,AD63))</f>
        <v>79</v>
      </c>
      <c r="AP63">
        <f>IF('AAA Summary'!$M$28=2, AK63, IF('AAA Summary'!$M$28=1,AE63))</f>
        <v>56</v>
      </c>
    </row>
    <row r="64" spans="1:42" x14ac:dyDescent="0.25">
      <c r="A64" t="s">
        <v>39</v>
      </c>
      <c r="B64" s="74" t="s">
        <v>40</v>
      </c>
      <c r="C64" s="5">
        <v>77</v>
      </c>
      <c r="D64" s="5">
        <v>47</v>
      </c>
      <c r="E64" s="130">
        <v>0.84</v>
      </c>
      <c r="F64" s="130">
        <v>0.96</v>
      </c>
      <c r="G64" s="130">
        <v>0.88</v>
      </c>
      <c r="H64" s="130">
        <v>0.74</v>
      </c>
      <c r="I64" s="51">
        <f t="shared" si="19"/>
        <v>30</v>
      </c>
      <c r="J64" s="130">
        <v>0.61</v>
      </c>
      <c r="K64" s="130">
        <v>0.39</v>
      </c>
      <c r="L64" s="84" t="s">
        <v>176</v>
      </c>
      <c r="M64" s="84" t="s">
        <v>167</v>
      </c>
      <c r="N64" s="6">
        <v>5.0000000000000001E-3</v>
      </c>
      <c r="O64" t="str">
        <f t="shared" si="20"/>
        <v>RHM</v>
      </c>
      <c r="P64" s="22">
        <f t="shared" si="21"/>
        <v>1</v>
      </c>
      <c r="Q64" s="22">
        <f t="shared" si="22"/>
        <v>1</v>
      </c>
      <c r="R64" s="22">
        <f t="shared" si="23"/>
        <v>2</v>
      </c>
      <c r="S64" s="22">
        <f t="shared" si="24"/>
        <v>1</v>
      </c>
      <c r="T64" s="40">
        <f>IF('AAA Summary'!$L$59=4, RANK(H64,H$8:H$79,1)+COUNTIF($H$8:H64,H64)-1, IF('AAA Summary'!$L$59=3, RANK(G64,G$8:G$79,1)+COUNTIF($G$8:G64,G64)-1, IF('AAA Summary'!$L$59=2, RANK(F64,F$8:F$79,1)+COUNTIF($F$8:F64,F64)-1, IF('AAA Summary'!$L$59=1, RANK(E64,E$8:E$79,1)+COUNTIF($E$8:E64,E64)-1))))</f>
        <v>15</v>
      </c>
      <c r="U64" s="28">
        <f>IF('AAA Summary'!$L$59=4, H64, IF('AAA Summary'!$L$59=3, G64, IF('AAA Summary'!$L$59=2, F64, IF('AAA Summary'!$L$59=1, E64))))</f>
        <v>0.84</v>
      </c>
      <c r="V64">
        <f t="shared" si="25"/>
        <v>32</v>
      </c>
      <c r="W64" s="9">
        <f t="shared" si="26"/>
        <v>61</v>
      </c>
      <c r="X64" s="84" t="s">
        <v>599</v>
      </c>
      <c r="Y64" s="131">
        <v>0.45</v>
      </c>
      <c r="Z64" s="9">
        <v>65</v>
      </c>
      <c r="AA64">
        <v>45</v>
      </c>
      <c r="AB64">
        <v>95</v>
      </c>
      <c r="AC64">
        <f t="shared" si="27"/>
        <v>20</v>
      </c>
      <c r="AD64">
        <f t="shared" si="28"/>
        <v>30</v>
      </c>
      <c r="AE64">
        <v>56</v>
      </c>
      <c r="AF64">
        <v>45</v>
      </c>
      <c r="AG64">
        <v>32.26943</v>
      </c>
      <c r="AH64">
        <v>57.468090000000004</v>
      </c>
      <c r="AI64" s="51">
        <f t="shared" si="11"/>
        <v>12.73057</v>
      </c>
      <c r="AJ64" s="51">
        <f t="shared" si="12"/>
        <v>12.468090000000004</v>
      </c>
      <c r="AK64" s="51">
        <v>80</v>
      </c>
      <c r="AL64" s="135">
        <v>14</v>
      </c>
      <c r="AM64">
        <f>IF('AAA Summary'!$M$28=2, AF64, IF('AAA Summary'!$M$28=1,Z64))</f>
        <v>65</v>
      </c>
      <c r="AN64">
        <f>IF('AAA Summary'!$M$28=2, AI64, IF('AAA Summary'!$M$28=1,AC64))</f>
        <v>20</v>
      </c>
      <c r="AO64">
        <f>IF('AAA Summary'!$M$28=2, AJ64, IF('AAA Summary'!$M$28=1,AD64))</f>
        <v>30</v>
      </c>
      <c r="AP64">
        <f>IF('AAA Summary'!$M$28=2, AK64, IF('AAA Summary'!$M$28=1,AE64))</f>
        <v>56</v>
      </c>
    </row>
    <row r="65" spans="1:42" x14ac:dyDescent="0.25">
      <c r="A65" t="s">
        <v>360</v>
      </c>
      <c r="B65" s="74" t="s">
        <v>361</v>
      </c>
      <c r="C65" s="5">
        <v>75</v>
      </c>
      <c r="D65" s="5">
        <v>57</v>
      </c>
      <c r="E65" s="130">
        <v>1</v>
      </c>
      <c r="F65" s="130">
        <v>0.99</v>
      </c>
      <c r="G65" s="130">
        <v>1</v>
      </c>
      <c r="H65" s="130">
        <v>0.91</v>
      </c>
      <c r="I65" s="51">
        <f t="shared" si="19"/>
        <v>18</v>
      </c>
      <c r="J65" s="130">
        <v>0.76</v>
      </c>
      <c r="K65" s="130">
        <v>0.24</v>
      </c>
      <c r="L65" s="84" t="s">
        <v>183</v>
      </c>
      <c r="M65" s="84" t="s">
        <v>191</v>
      </c>
      <c r="N65" s="6">
        <v>0</v>
      </c>
      <c r="O65" t="str">
        <f t="shared" si="20"/>
        <v>RYR</v>
      </c>
      <c r="P65" s="22">
        <f t="shared" si="21"/>
        <v>4</v>
      </c>
      <c r="Q65" s="22">
        <f t="shared" si="22"/>
        <v>3</v>
      </c>
      <c r="R65" s="22">
        <f t="shared" si="23"/>
        <v>4</v>
      </c>
      <c r="S65" s="22">
        <f t="shared" si="24"/>
        <v>3</v>
      </c>
      <c r="T65" s="40">
        <f>IF('AAA Summary'!$L$59=4, RANK(H65,H$8:H$79,1)+COUNTIF($H$8:H65,H65)-1, IF('AAA Summary'!$L$59=3, RANK(G65,G$8:G$79,1)+COUNTIF($G$8:G65,G65)-1, IF('AAA Summary'!$L$59=2, RANK(F65,F$8:F$79,1)+COUNTIF($F$8:F65,F65)-1, IF('AAA Summary'!$L$59=1, RANK(E65,E$8:E$79,1)+COUNTIF($E$8:E65,E65)-1))))</f>
        <v>63</v>
      </c>
      <c r="U65" s="28">
        <f>IF('AAA Summary'!$L$59=4, H65, IF('AAA Summary'!$L$59=3, G65, IF('AAA Summary'!$L$59=2, F65, IF('AAA Summary'!$L$59=1, E65))))</f>
        <v>1</v>
      </c>
      <c r="V65">
        <f t="shared" si="25"/>
        <v>15</v>
      </c>
      <c r="W65" s="9">
        <f t="shared" si="26"/>
        <v>76</v>
      </c>
      <c r="X65" s="84" t="s">
        <v>647</v>
      </c>
      <c r="Y65" s="131">
        <v>0.09</v>
      </c>
      <c r="Z65" s="9">
        <v>131</v>
      </c>
      <c r="AA65">
        <v>90</v>
      </c>
      <c r="AB65">
        <v>166</v>
      </c>
      <c r="AC65">
        <f t="shared" si="27"/>
        <v>41</v>
      </c>
      <c r="AD65">
        <f t="shared" si="28"/>
        <v>35</v>
      </c>
      <c r="AE65">
        <v>56</v>
      </c>
      <c r="AF65">
        <v>9</v>
      </c>
      <c r="AG65">
        <v>3.8353900000000003</v>
      </c>
      <c r="AH65">
        <v>18.289349999999999</v>
      </c>
      <c r="AI65" s="51">
        <f t="shared" si="11"/>
        <v>5.1646099999999997</v>
      </c>
      <c r="AJ65" s="51">
        <f t="shared" si="12"/>
        <v>9.2893499999999989</v>
      </c>
      <c r="AK65" s="51">
        <v>80</v>
      </c>
      <c r="AL65" s="135">
        <v>54</v>
      </c>
      <c r="AM65">
        <f>IF('AAA Summary'!$M$28=2, AF65, IF('AAA Summary'!$M$28=1,Z65))</f>
        <v>131</v>
      </c>
      <c r="AN65">
        <f>IF('AAA Summary'!$M$28=2, AI65, IF('AAA Summary'!$M$28=1,AC65))</f>
        <v>41</v>
      </c>
      <c r="AO65">
        <f>IF('AAA Summary'!$M$28=2, AJ65, IF('AAA Summary'!$M$28=1,AD65))</f>
        <v>35</v>
      </c>
      <c r="AP65">
        <f>IF('AAA Summary'!$M$28=2, AK65, IF('AAA Summary'!$M$28=1,AE65))</f>
        <v>56</v>
      </c>
    </row>
    <row r="66" spans="1:42" x14ac:dyDescent="0.25">
      <c r="A66" t="s">
        <v>77</v>
      </c>
      <c r="B66" s="74" t="s">
        <v>78</v>
      </c>
      <c r="C66" s="5">
        <v>41</v>
      </c>
      <c r="D66" s="5">
        <v>26</v>
      </c>
      <c r="E66" s="130">
        <v>0.98</v>
      </c>
      <c r="F66" s="130">
        <v>0.95</v>
      </c>
      <c r="G66" s="130">
        <v>0.97</v>
      </c>
      <c r="H66" s="130">
        <v>0.9</v>
      </c>
      <c r="I66" s="51">
        <f t="shared" si="19"/>
        <v>15</v>
      </c>
      <c r="J66" s="130">
        <v>0.63</v>
      </c>
      <c r="K66" s="130">
        <v>0.37</v>
      </c>
      <c r="L66" s="84" t="s">
        <v>187</v>
      </c>
      <c r="M66" s="84" t="s">
        <v>313</v>
      </c>
      <c r="N66" s="6">
        <v>1.7000000000000001E-2</v>
      </c>
      <c r="O66" t="str">
        <f t="shared" si="20"/>
        <v>RRK</v>
      </c>
      <c r="P66" s="22">
        <f t="shared" si="21"/>
        <v>4</v>
      </c>
      <c r="Q66" s="22">
        <f t="shared" si="22"/>
        <v>1</v>
      </c>
      <c r="R66" s="22">
        <f t="shared" si="23"/>
        <v>3</v>
      </c>
      <c r="S66" s="22">
        <f t="shared" si="24"/>
        <v>2</v>
      </c>
      <c r="T66" s="40">
        <f>IF('AAA Summary'!$L$59=4, RANK(H66,H$8:H$79,1)+COUNTIF($H$8:H66,H66)-1, IF('AAA Summary'!$L$59=3, RANK(G66,G$8:G$79,1)+COUNTIF($G$8:G66,G66)-1, IF('AAA Summary'!$L$59=2, RANK(F66,F$8:F$79,1)+COUNTIF($F$8:F66,F66)-1, IF('AAA Summary'!$L$59=1, RANK(E66,E$8:E$79,1)+COUNTIF($E$8:E66,E66)-1))))</f>
        <v>51</v>
      </c>
      <c r="U66" s="28">
        <f>IF('AAA Summary'!$L$59=4, H66, IF('AAA Summary'!$L$59=3, G66, IF('AAA Summary'!$L$59=2, F66, IF('AAA Summary'!$L$59=1, E66))))</f>
        <v>0.98</v>
      </c>
      <c r="V66">
        <f t="shared" si="25"/>
        <v>28</v>
      </c>
      <c r="W66" s="9">
        <f t="shared" si="26"/>
        <v>63</v>
      </c>
      <c r="X66" s="84" t="s">
        <v>619</v>
      </c>
      <c r="Y66" s="131">
        <v>0.13</v>
      </c>
      <c r="Z66" s="9">
        <v>125</v>
      </c>
      <c r="AA66">
        <v>80</v>
      </c>
      <c r="AB66">
        <v>257</v>
      </c>
      <c r="AC66">
        <f t="shared" si="27"/>
        <v>45</v>
      </c>
      <c r="AD66">
        <f t="shared" si="28"/>
        <v>132</v>
      </c>
      <c r="AE66">
        <v>56</v>
      </c>
      <c r="AF66">
        <v>13</v>
      </c>
      <c r="AG66">
        <v>4.1859599999999997</v>
      </c>
      <c r="AH66">
        <v>26.803290000000001</v>
      </c>
      <c r="AI66" s="51">
        <f t="shared" si="11"/>
        <v>8.8140400000000003</v>
      </c>
      <c r="AJ66" s="51">
        <f t="shared" si="12"/>
        <v>13.803290000000001</v>
      </c>
      <c r="AK66" s="51">
        <v>80</v>
      </c>
      <c r="AL66" s="135">
        <v>52</v>
      </c>
      <c r="AM66">
        <f>IF('AAA Summary'!$M$28=2, AF66, IF('AAA Summary'!$M$28=1,Z66))</f>
        <v>125</v>
      </c>
      <c r="AN66">
        <f>IF('AAA Summary'!$M$28=2, AI66, IF('AAA Summary'!$M$28=1,AC66))</f>
        <v>45</v>
      </c>
      <c r="AO66">
        <f>IF('AAA Summary'!$M$28=2, AJ66, IF('AAA Summary'!$M$28=1,AD66))</f>
        <v>132</v>
      </c>
      <c r="AP66">
        <f>IF('AAA Summary'!$M$28=2, AK66, IF('AAA Summary'!$M$28=1,AE66))</f>
        <v>56</v>
      </c>
    </row>
    <row r="67" spans="1:42" x14ac:dyDescent="0.25">
      <c r="A67" t="s">
        <v>56</v>
      </c>
      <c r="B67" s="74" t="s">
        <v>57</v>
      </c>
      <c r="C67" s="5">
        <v>57</v>
      </c>
      <c r="D67" s="5">
        <v>37</v>
      </c>
      <c r="E67" s="130">
        <v>1</v>
      </c>
      <c r="F67" s="130">
        <v>1</v>
      </c>
      <c r="G67" s="130">
        <v>1</v>
      </c>
      <c r="H67" s="130">
        <v>0.96</v>
      </c>
      <c r="I67" s="51">
        <f t="shared" si="19"/>
        <v>20</v>
      </c>
      <c r="J67" s="130">
        <v>0.65</v>
      </c>
      <c r="K67" s="130">
        <v>0.35</v>
      </c>
      <c r="L67" s="84" t="s">
        <v>189</v>
      </c>
      <c r="M67" s="84" t="s">
        <v>167</v>
      </c>
      <c r="N67" s="6">
        <v>1.7999999999999999E-2</v>
      </c>
      <c r="O67" t="str">
        <f t="shared" si="20"/>
        <v>RKB</v>
      </c>
      <c r="P67" s="22">
        <f t="shared" si="21"/>
        <v>4</v>
      </c>
      <c r="Q67" s="22">
        <f t="shared" si="22"/>
        <v>4</v>
      </c>
      <c r="R67" s="22">
        <f t="shared" si="23"/>
        <v>4</v>
      </c>
      <c r="S67" s="22">
        <f t="shared" si="24"/>
        <v>3</v>
      </c>
      <c r="T67" s="40">
        <f>IF('AAA Summary'!$L$59=4, RANK(H67,H$8:H$79,1)+COUNTIF($H$8:H67,H67)-1, IF('AAA Summary'!$L$59=3, RANK(G67,G$8:G$79,1)+COUNTIF($G$8:G67,G67)-1, IF('AAA Summary'!$L$59=2, RANK(F67,F$8:F$79,1)+COUNTIF($F$8:F67,F67)-1, IF('AAA Summary'!$L$59=1, RANK(E67,E$8:E$79,1)+COUNTIF($E$8:E67,E67)-1))))</f>
        <v>64</v>
      </c>
      <c r="U67" s="28">
        <f>IF('AAA Summary'!$L$59=4, H67, IF('AAA Summary'!$L$59=3, G67, IF('AAA Summary'!$L$59=2, F67, IF('AAA Summary'!$L$59=1, E67))))</f>
        <v>1</v>
      </c>
      <c r="V67">
        <f t="shared" si="25"/>
        <v>25</v>
      </c>
      <c r="W67" s="9">
        <f t="shared" si="26"/>
        <v>65</v>
      </c>
      <c r="X67" s="84" t="s">
        <v>606</v>
      </c>
      <c r="Y67" s="131">
        <v>0.19</v>
      </c>
      <c r="Z67" s="9">
        <v>104</v>
      </c>
      <c r="AA67">
        <v>65</v>
      </c>
      <c r="AB67">
        <v>145</v>
      </c>
      <c r="AC67">
        <f t="shared" si="27"/>
        <v>39</v>
      </c>
      <c r="AD67">
        <f t="shared" si="28"/>
        <v>41</v>
      </c>
      <c r="AE67">
        <v>56</v>
      </c>
      <c r="AF67">
        <v>19</v>
      </c>
      <c r="AG67">
        <v>10.047219999999999</v>
      </c>
      <c r="AH67">
        <v>31.910979999999999</v>
      </c>
      <c r="AI67" s="51">
        <f t="shared" si="11"/>
        <v>8.9527800000000006</v>
      </c>
      <c r="AJ67" s="51">
        <f t="shared" si="12"/>
        <v>12.910979999999999</v>
      </c>
      <c r="AK67" s="51">
        <v>80</v>
      </c>
      <c r="AL67" s="135">
        <v>45</v>
      </c>
      <c r="AM67">
        <f>IF('AAA Summary'!$M$28=2, AF67, IF('AAA Summary'!$M$28=1,Z67))</f>
        <v>104</v>
      </c>
      <c r="AN67">
        <f>IF('AAA Summary'!$M$28=2, AI67, IF('AAA Summary'!$M$28=1,AC67))</f>
        <v>39</v>
      </c>
      <c r="AO67">
        <f>IF('AAA Summary'!$M$28=2, AJ67, IF('AAA Summary'!$M$28=1,AD67))</f>
        <v>41</v>
      </c>
      <c r="AP67">
        <f>IF('AAA Summary'!$M$28=2, AK67, IF('AAA Summary'!$M$28=1,AE67))</f>
        <v>56</v>
      </c>
    </row>
    <row r="68" spans="1:42" x14ac:dyDescent="0.25">
      <c r="A68" t="s">
        <v>336</v>
      </c>
      <c r="B68" s="74" t="s">
        <v>337</v>
      </c>
      <c r="C68" s="5">
        <v>46</v>
      </c>
      <c r="D68" s="5">
        <v>21</v>
      </c>
      <c r="E68" s="130">
        <v>1</v>
      </c>
      <c r="F68" s="130">
        <v>0.98</v>
      </c>
      <c r="G68" s="130">
        <v>1</v>
      </c>
      <c r="H68" s="130">
        <v>0.98</v>
      </c>
      <c r="I68" s="51">
        <f t="shared" si="19"/>
        <v>25</v>
      </c>
      <c r="J68" s="130">
        <v>0.46</v>
      </c>
      <c r="K68" s="130">
        <v>0.54</v>
      </c>
      <c r="L68" s="84" t="s">
        <v>189</v>
      </c>
      <c r="M68" s="84" t="s">
        <v>269</v>
      </c>
      <c r="N68" s="6">
        <v>5.0000000000000001E-3</v>
      </c>
      <c r="O68" t="str">
        <f t="shared" si="20"/>
        <v>R0D</v>
      </c>
      <c r="P68" s="22">
        <f t="shared" si="21"/>
        <v>4</v>
      </c>
      <c r="Q68" s="22">
        <f t="shared" si="22"/>
        <v>2</v>
      </c>
      <c r="R68" s="22">
        <f t="shared" si="23"/>
        <v>4</v>
      </c>
      <c r="S68" s="22">
        <f t="shared" si="24"/>
        <v>4</v>
      </c>
      <c r="T68" s="40">
        <f>IF('AAA Summary'!$L$59=4, RANK(H68,H$8:H$79,1)+COUNTIF($H$8:H68,H68)-1, IF('AAA Summary'!$L$59=3, RANK(G68,G$8:G$79,1)+COUNTIF($G$8:G68,G68)-1, IF('AAA Summary'!$L$59=2, RANK(F68,F$8:F$79,1)+COUNTIF($F$8:F68,F68)-1, IF('AAA Summary'!$L$59=1, RANK(E68,E$8:E$79,1)+COUNTIF($E$8:E68,E68)-1))))</f>
        <v>65</v>
      </c>
      <c r="U68" s="28">
        <f>IF('AAA Summary'!$L$59=4, H68, IF('AAA Summary'!$L$59=3, G68, IF('AAA Summary'!$L$59=2, F68, IF('AAA Summary'!$L$59=1, E68))))</f>
        <v>1</v>
      </c>
      <c r="V68">
        <f t="shared" si="25"/>
        <v>45</v>
      </c>
      <c r="W68" s="9">
        <f t="shared" si="26"/>
        <v>46</v>
      </c>
      <c r="X68" s="84" t="s">
        <v>576</v>
      </c>
      <c r="Y68" s="131">
        <v>0.35</v>
      </c>
      <c r="Z68" s="9">
        <v>84</v>
      </c>
      <c r="AA68">
        <v>43</v>
      </c>
      <c r="AB68">
        <v>140</v>
      </c>
      <c r="AC68">
        <f t="shared" si="27"/>
        <v>41</v>
      </c>
      <c r="AD68">
        <f t="shared" si="28"/>
        <v>56</v>
      </c>
      <c r="AE68">
        <v>56</v>
      </c>
      <c r="AF68">
        <v>35</v>
      </c>
      <c r="AG68">
        <v>21.35435</v>
      </c>
      <c r="AH68">
        <v>50.249000000000002</v>
      </c>
      <c r="AI68" s="51">
        <f t="shared" si="11"/>
        <v>13.64565</v>
      </c>
      <c r="AJ68" s="51">
        <f t="shared" si="12"/>
        <v>15.249000000000002</v>
      </c>
      <c r="AK68" s="51">
        <v>80</v>
      </c>
      <c r="AL68" s="135">
        <v>32</v>
      </c>
      <c r="AM68">
        <f>IF('AAA Summary'!$M$28=2, AF68, IF('AAA Summary'!$M$28=1,Z68))</f>
        <v>84</v>
      </c>
      <c r="AN68">
        <f>IF('AAA Summary'!$M$28=2, AI68, IF('AAA Summary'!$M$28=1,AC68))</f>
        <v>41</v>
      </c>
      <c r="AO68">
        <f>IF('AAA Summary'!$M$28=2, AJ68, IF('AAA Summary'!$M$28=1,AD68))</f>
        <v>56</v>
      </c>
      <c r="AP68">
        <f>IF('AAA Summary'!$M$28=2, AK68, IF('AAA Summary'!$M$28=1,AE68))</f>
        <v>56</v>
      </c>
    </row>
    <row r="69" spans="1:42" x14ac:dyDescent="0.25">
      <c r="A69" t="s">
        <v>87</v>
      </c>
      <c r="B69" s="74" t="s">
        <v>228</v>
      </c>
      <c r="C69" s="5">
        <v>51</v>
      </c>
      <c r="D69" s="5">
        <v>31</v>
      </c>
      <c r="E69" s="130">
        <v>1</v>
      </c>
      <c r="F69" s="130">
        <v>1</v>
      </c>
      <c r="G69" s="130">
        <v>1</v>
      </c>
      <c r="H69" s="130">
        <v>0.98</v>
      </c>
      <c r="I69" s="51">
        <f t="shared" si="19"/>
        <v>20</v>
      </c>
      <c r="J69" s="130">
        <v>0.61</v>
      </c>
      <c r="K69" s="130">
        <v>0.39</v>
      </c>
      <c r="L69" s="84" t="s">
        <v>172</v>
      </c>
      <c r="M69" s="84" t="s">
        <v>221</v>
      </c>
      <c r="N69" s="6">
        <v>6.0000000000000001E-3</v>
      </c>
      <c r="O69" t="str">
        <f t="shared" si="20"/>
        <v>RTG</v>
      </c>
      <c r="P69" s="22">
        <f t="shared" si="21"/>
        <v>4</v>
      </c>
      <c r="Q69" s="22">
        <f t="shared" si="22"/>
        <v>4</v>
      </c>
      <c r="R69" s="22">
        <f t="shared" si="23"/>
        <v>4</v>
      </c>
      <c r="S69" s="22">
        <f t="shared" si="24"/>
        <v>4</v>
      </c>
      <c r="T69" s="40">
        <f>IF('AAA Summary'!$L$59=4, RANK(H69,H$8:H$79,1)+COUNTIF($H$8:H69,H69)-1, IF('AAA Summary'!$L$59=3, RANK(G69,G$8:G$79,1)+COUNTIF($G$8:G69,G69)-1, IF('AAA Summary'!$L$59=2, RANK(F69,F$8:F$79,1)+COUNTIF($F$8:F69,F69)-1, IF('AAA Summary'!$L$59=1, RANK(E69,E$8:E$79,1)+COUNTIF($E$8:E69,E69)-1))))</f>
        <v>66</v>
      </c>
      <c r="U69" s="28">
        <f>IF('AAA Summary'!$L$59=4, H69, IF('AAA Summary'!$L$59=3, G69, IF('AAA Summary'!$L$59=2, F69, IF('AAA Summary'!$L$59=1, E69))))</f>
        <v>1</v>
      </c>
      <c r="V69">
        <f t="shared" si="25"/>
        <v>32</v>
      </c>
      <c r="W69" s="9">
        <f t="shared" si="26"/>
        <v>61</v>
      </c>
      <c r="X69" s="84" t="s">
        <v>623</v>
      </c>
      <c r="Y69" s="131">
        <v>0.43</v>
      </c>
      <c r="Z69" s="9">
        <v>66</v>
      </c>
      <c r="AA69">
        <v>29</v>
      </c>
      <c r="AB69">
        <v>139</v>
      </c>
      <c r="AC69">
        <f t="shared" si="27"/>
        <v>37</v>
      </c>
      <c r="AD69">
        <f t="shared" si="28"/>
        <v>73</v>
      </c>
      <c r="AE69">
        <v>56</v>
      </c>
      <c r="AF69">
        <v>43</v>
      </c>
      <c r="AG69">
        <v>29.345490000000002</v>
      </c>
      <c r="AH69">
        <v>57.75468</v>
      </c>
      <c r="AI69" s="51">
        <f t="shared" si="11"/>
        <v>13.654509999999998</v>
      </c>
      <c r="AJ69" s="51">
        <f t="shared" si="12"/>
        <v>14.75468</v>
      </c>
      <c r="AK69" s="51">
        <v>80</v>
      </c>
      <c r="AL69" s="135">
        <v>15</v>
      </c>
      <c r="AM69">
        <f>IF('AAA Summary'!$M$28=2, AF69, IF('AAA Summary'!$M$28=1,Z69))</f>
        <v>66</v>
      </c>
      <c r="AN69">
        <f>IF('AAA Summary'!$M$28=2, AI69, IF('AAA Summary'!$M$28=1,AC69))</f>
        <v>37</v>
      </c>
      <c r="AO69">
        <f>IF('AAA Summary'!$M$28=2, AJ69, IF('AAA Summary'!$M$28=1,AD69))</f>
        <v>73</v>
      </c>
      <c r="AP69">
        <f>IF('AAA Summary'!$M$28=2, AK69, IF('AAA Summary'!$M$28=1,AE69))</f>
        <v>56</v>
      </c>
    </row>
    <row r="70" spans="1:42" x14ac:dyDescent="0.25">
      <c r="A70" t="s">
        <v>99</v>
      </c>
      <c r="B70" s="74" t="s">
        <v>100</v>
      </c>
      <c r="C70" s="5">
        <v>55</v>
      </c>
      <c r="D70" s="5">
        <v>39</v>
      </c>
      <c r="E70" s="130">
        <v>1</v>
      </c>
      <c r="F70" s="130">
        <v>1</v>
      </c>
      <c r="G70" s="130">
        <v>1</v>
      </c>
      <c r="H70" s="130">
        <v>1</v>
      </c>
      <c r="I70" s="51">
        <f t="shared" si="19"/>
        <v>16</v>
      </c>
      <c r="J70" s="130">
        <v>0.71</v>
      </c>
      <c r="K70" s="130">
        <v>0.28999999999999998</v>
      </c>
      <c r="L70" s="84" t="s">
        <v>193</v>
      </c>
      <c r="M70" s="84" t="s">
        <v>634</v>
      </c>
      <c r="N70" s="6">
        <v>0.02</v>
      </c>
      <c r="O70" t="str">
        <f t="shared" si="20"/>
        <v>RWE</v>
      </c>
      <c r="P70" s="22">
        <f t="shared" si="21"/>
        <v>4</v>
      </c>
      <c r="Q70" s="22">
        <f t="shared" si="22"/>
        <v>4</v>
      </c>
      <c r="R70" s="22">
        <f t="shared" si="23"/>
        <v>4</v>
      </c>
      <c r="S70" s="22">
        <f t="shared" si="24"/>
        <v>4</v>
      </c>
      <c r="T70" s="40">
        <f>IF('AAA Summary'!$L$59=4, RANK(H70,H$8:H$79,1)+COUNTIF($H$8:H70,H70)-1, IF('AAA Summary'!$L$59=3, RANK(G70,G$8:G$79,1)+COUNTIF($G$8:G70,G70)-1, IF('AAA Summary'!$L$59=2, RANK(F70,F$8:F$79,1)+COUNTIF($F$8:F70,F70)-1, IF('AAA Summary'!$L$59=1, RANK(E70,E$8:E$79,1)+COUNTIF($E$8:E70,E70)-1))))</f>
        <v>67</v>
      </c>
      <c r="U70" s="28">
        <f>IF('AAA Summary'!$L$59=4, H70, IF('AAA Summary'!$L$59=3, G70, IF('AAA Summary'!$L$59=2, F70, IF('AAA Summary'!$L$59=1, E70))))</f>
        <v>1</v>
      </c>
      <c r="V70">
        <f t="shared" si="25"/>
        <v>20</v>
      </c>
      <c r="W70" s="9">
        <f t="shared" si="26"/>
        <v>71</v>
      </c>
      <c r="X70" s="84" t="s">
        <v>633</v>
      </c>
      <c r="Y70" s="131">
        <v>0.15</v>
      </c>
      <c r="Z70" s="9">
        <v>111</v>
      </c>
      <c r="AA70">
        <v>86</v>
      </c>
      <c r="AB70">
        <v>185</v>
      </c>
      <c r="AC70">
        <f t="shared" si="27"/>
        <v>25</v>
      </c>
      <c r="AD70">
        <f t="shared" si="28"/>
        <v>74</v>
      </c>
      <c r="AE70">
        <v>56</v>
      </c>
      <c r="AF70">
        <v>15</v>
      </c>
      <c r="AG70">
        <v>6.495140000000001</v>
      </c>
      <c r="AH70">
        <v>26.663229999999999</v>
      </c>
      <c r="AI70" s="51">
        <f t="shared" si="11"/>
        <v>8.504859999999999</v>
      </c>
      <c r="AJ70" s="51">
        <f t="shared" si="12"/>
        <v>11.663229999999999</v>
      </c>
      <c r="AK70" s="51">
        <v>80</v>
      </c>
      <c r="AL70" s="135">
        <v>50</v>
      </c>
      <c r="AM70">
        <f>IF('AAA Summary'!$M$28=2, AF70, IF('AAA Summary'!$M$28=1,Z70))</f>
        <v>111</v>
      </c>
      <c r="AN70">
        <f>IF('AAA Summary'!$M$28=2, AI70, IF('AAA Summary'!$M$28=1,AC70))</f>
        <v>25</v>
      </c>
      <c r="AO70">
        <f>IF('AAA Summary'!$M$28=2, AJ70, IF('AAA Summary'!$M$28=1,AD70))</f>
        <v>74</v>
      </c>
      <c r="AP70">
        <f>IF('AAA Summary'!$M$28=2, AK70, IF('AAA Summary'!$M$28=1,AE70))</f>
        <v>56</v>
      </c>
    </row>
    <row r="71" spans="1:42" x14ac:dyDescent="0.25">
      <c r="A71" t="s">
        <v>55</v>
      </c>
      <c r="B71" s="74" t="s">
        <v>159</v>
      </c>
      <c r="C71" s="5">
        <v>21</v>
      </c>
      <c r="D71" s="5">
        <v>11</v>
      </c>
      <c r="E71" s="130">
        <v>0.95</v>
      </c>
      <c r="F71" s="130">
        <v>1</v>
      </c>
      <c r="G71" s="130">
        <v>1</v>
      </c>
      <c r="H71" s="130">
        <v>0.9</v>
      </c>
      <c r="I71" s="51">
        <f t="shared" si="19"/>
        <v>10</v>
      </c>
      <c r="J71" s="130">
        <v>0.52</v>
      </c>
      <c r="K71" s="130">
        <v>0.48</v>
      </c>
      <c r="L71" s="84" t="s">
        <v>176</v>
      </c>
      <c r="M71" s="84" t="s">
        <v>395</v>
      </c>
      <c r="N71" s="6">
        <v>0</v>
      </c>
      <c r="O71" t="str">
        <f t="shared" si="20"/>
        <v>RK9</v>
      </c>
      <c r="P71" s="22">
        <f t="shared" si="21"/>
        <v>3</v>
      </c>
      <c r="Q71" s="22">
        <f t="shared" si="22"/>
        <v>4</v>
      </c>
      <c r="R71" s="22">
        <f t="shared" si="23"/>
        <v>4</v>
      </c>
      <c r="S71" s="22">
        <f t="shared" si="24"/>
        <v>2</v>
      </c>
      <c r="T71" s="40">
        <f>IF('AAA Summary'!$L$59=4, RANK(H71,H$8:H$79,1)+COUNTIF($H$8:H71,H71)-1, IF('AAA Summary'!$L$59=3, RANK(G71,G$8:G$79,1)+COUNTIF($G$8:G71,G71)-1, IF('AAA Summary'!$L$59=2, RANK(F71,F$8:F$79,1)+COUNTIF($F$8:F71,F71)-1, IF('AAA Summary'!$L$59=1, RANK(E71,E$8:E$79,1)+COUNTIF($E$8:E71,E71)-1))))</f>
        <v>37</v>
      </c>
      <c r="U71" s="28">
        <f>IF('AAA Summary'!$L$59=4, H71, IF('AAA Summary'!$L$59=3, G71, IF('AAA Summary'!$L$59=2, F71, IF('AAA Summary'!$L$59=1, E71))))</f>
        <v>0.95</v>
      </c>
      <c r="V71">
        <f t="shared" si="25"/>
        <v>39</v>
      </c>
      <c r="W71" s="9">
        <f t="shared" si="26"/>
        <v>52</v>
      </c>
      <c r="X71" s="84" t="s">
        <v>605</v>
      </c>
      <c r="Y71" s="131">
        <v>0.45</v>
      </c>
      <c r="Z71" s="9">
        <v>69</v>
      </c>
      <c r="AA71">
        <v>46</v>
      </c>
      <c r="AB71">
        <v>113</v>
      </c>
      <c r="AC71">
        <f t="shared" si="27"/>
        <v>23</v>
      </c>
      <c r="AD71">
        <f t="shared" si="28"/>
        <v>44</v>
      </c>
      <c r="AE71">
        <v>56</v>
      </c>
      <c r="AF71">
        <v>45</v>
      </c>
      <c r="AG71">
        <v>23.057790000000001</v>
      </c>
      <c r="AH71">
        <v>68.472189999999998</v>
      </c>
      <c r="AI71" s="51">
        <f t="shared" si="11"/>
        <v>21.942209999999999</v>
      </c>
      <c r="AJ71" s="51">
        <f t="shared" si="12"/>
        <v>23.472189999999998</v>
      </c>
      <c r="AK71" s="51">
        <v>80</v>
      </c>
      <c r="AL71" s="135">
        <v>17</v>
      </c>
      <c r="AM71">
        <f>IF('AAA Summary'!$M$28=2, AF71, IF('AAA Summary'!$M$28=1,Z71))</f>
        <v>69</v>
      </c>
      <c r="AN71">
        <f>IF('AAA Summary'!$M$28=2, AI71, IF('AAA Summary'!$M$28=1,AC71))</f>
        <v>23</v>
      </c>
      <c r="AO71">
        <f>IF('AAA Summary'!$M$28=2, AJ71, IF('AAA Summary'!$M$28=1,AD71))</f>
        <v>44</v>
      </c>
      <c r="AP71">
        <f>IF('AAA Summary'!$M$28=2, AK71, IF('AAA Summary'!$M$28=1,AE71))</f>
        <v>56</v>
      </c>
    </row>
    <row r="72" spans="1:42" x14ac:dyDescent="0.25">
      <c r="A72" t="s">
        <v>101</v>
      </c>
      <c r="B72" s="74" t="s">
        <v>102</v>
      </c>
      <c r="C72" s="5">
        <v>32</v>
      </c>
      <c r="D72" s="5">
        <v>25</v>
      </c>
      <c r="E72" s="130">
        <v>0.97</v>
      </c>
      <c r="F72" s="130">
        <v>1</v>
      </c>
      <c r="G72" s="130">
        <v>0.97</v>
      </c>
      <c r="H72" s="130">
        <v>0.94</v>
      </c>
      <c r="I72" s="51">
        <f t="shared" si="19"/>
        <v>7</v>
      </c>
      <c r="J72" s="130">
        <v>0.78</v>
      </c>
      <c r="K72" s="130">
        <v>0.22</v>
      </c>
      <c r="L72" s="84" t="s">
        <v>187</v>
      </c>
      <c r="M72" s="84" t="s">
        <v>636</v>
      </c>
      <c r="N72" s="6">
        <v>3.5000000000000003E-2</v>
      </c>
      <c r="O72" t="str">
        <f t="shared" si="20"/>
        <v>RWG</v>
      </c>
      <c r="P72" s="22">
        <f t="shared" si="21"/>
        <v>3</v>
      </c>
      <c r="Q72" s="22">
        <f t="shared" si="22"/>
        <v>4</v>
      </c>
      <c r="R72" s="22">
        <f t="shared" si="23"/>
        <v>3</v>
      </c>
      <c r="S72" s="22">
        <f t="shared" si="24"/>
        <v>3</v>
      </c>
      <c r="T72" s="40">
        <f>IF('AAA Summary'!$L$59=4, RANK(H72,H$8:H$79,1)+COUNTIF($H$8:H72,H72)-1, IF('AAA Summary'!$L$59=3, RANK(G72,G$8:G$79,1)+COUNTIF($G$8:G72,G72)-1, IF('AAA Summary'!$L$59=2, RANK(F72,F$8:F$79,1)+COUNTIF($F$8:F72,F72)-1, IF('AAA Summary'!$L$59=1, RANK(E72,E$8:E$79,1)+COUNTIF($E$8:E72,E72)-1))))</f>
        <v>49</v>
      </c>
      <c r="U72" s="28">
        <f>IF('AAA Summary'!$L$59=4, H72, IF('AAA Summary'!$L$59=3, G72, IF('AAA Summary'!$L$59=2, F72, IF('AAA Summary'!$L$59=1, E72))))</f>
        <v>0.97</v>
      </c>
      <c r="V72">
        <f t="shared" si="25"/>
        <v>14</v>
      </c>
      <c r="W72" s="9">
        <f t="shared" si="26"/>
        <v>78</v>
      </c>
      <c r="X72" s="84" t="s">
        <v>635</v>
      </c>
      <c r="Y72" s="131">
        <v>0.32</v>
      </c>
      <c r="Z72" s="9">
        <v>78</v>
      </c>
      <c r="AA72">
        <v>32</v>
      </c>
      <c r="AB72">
        <v>108</v>
      </c>
      <c r="AC72">
        <f t="shared" si="27"/>
        <v>46</v>
      </c>
      <c r="AD72">
        <f t="shared" si="28"/>
        <v>30</v>
      </c>
      <c r="AE72">
        <v>56</v>
      </c>
      <c r="AF72">
        <v>32</v>
      </c>
      <c r="AG72">
        <v>16.682359999999999</v>
      </c>
      <c r="AH72">
        <v>51.372979999999998</v>
      </c>
      <c r="AI72" s="51">
        <f t="shared" si="11"/>
        <v>15.317640000000001</v>
      </c>
      <c r="AJ72" s="51">
        <f t="shared" si="12"/>
        <v>19.372979999999998</v>
      </c>
      <c r="AK72" s="51">
        <v>80</v>
      </c>
      <c r="AL72" s="135">
        <v>28</v>
      </c>
      <c r="AM72">
        <f>IF('AAA Summary'!$M$28=2, AF72, IF('AAA Summary'!$M$28=1,Z72))</f>
        <v>78</v>
      </c>
      <c r="AN72">
        <f>IF('AAA Summary'!$M$28=2, AI72, IF('AAA Summary'!$M$28=1,AC72))</f>
        <v>46</v>
      </c>
      <c r="AO72">
        <f>IF('AAA Summary'!$M$28=2, AJ72, IF('AAA Summary'!$M$28=1,AD72))</f>
        <v>30</v>
      </c>
      <c r="AP72">
        <f>IF('AAA Summary'!$M$28=2, AK72, IF('AAA Summary'!$M$28=1,AE72))</f>
        <v>56</v>
      </c>
    </row>
    <row r="73" spans="1:42" x14ac:dyDescent="0.25">
      <c r="A73" t="s">
        <v>105</v>
      </c>
      <c r="B73" s="74" t="s">
        <v>106</v>
      </c>
      <c r="C73" s="5">
        <v>74</v>
      </c>
      <c r="D73" s="5">
        <v>45</v>
      </c>
      <c r="E73" s="130">
        <v>0.99</v>
      </c>
      <c r="F73" s="130">
        <v>1</v>
      </c>
      <c r="G73" s="130">
        <v>0.98</v>
      </c>
      <c r="H73" s="130">
        <v>0.84</v>
      </c>
      <c r="I73" s="51">
        <f t="shared" si="19"/>
        <v>29</v>
      </c>
      <c r="J73" s="130">
        <v>0.61</v>
      </c>
      <c r="K73" s="130">
        <v>0.39</v>
      </c>
      <c r="L73" s="84" t="s">
        <v>187</v>
      </c>
      <c r="M73" s="84" t="s">
        <v>196</v>
      </c>
      <c r="N73" s="6">
        <v>8.9999999999999993E-3</v>
      </c>
      <c r="O73" t="str">
        <f t="shared" si="20"/>
        <v>RWP</v>
      </c>
      <c r="P73" s="22">
        <f t="shared" si="21"/>
        <v>4</v>
      </c>
      <c r="Q73" s="22">
        <f t="shared" si="22"/>
        <v>4</v>
      </c>
      <c r="R73" s="22">
        <f t="shared" si="23"/>
        <v>3</v>
      </c>
      <c r="S73" s="22">
        <f t="shared" si="24"/>
        <v>2</v>
      </c>
      <c r="T73" s="40">
        <f>IF('AAA Summary'!$L$59=4, RANK(H73,H$8:H$79,1)+COUNTIF($H$8:H73,H73)-1, IF('AAA Summary'!$L$59=3, RANK(G73,G$8:G$79,1)+COUNTIF($G$8:G73,G73)-1, IF('AAA Summary'!$L$59=2, RANK(F73,F$8:F$79,1)+COUNTIF($F$8:F73,F73)-1, IF('AAA Summary'!$L$59=1, RANK(E73,E$8:E$79,1)+COUNTIF($E$8:E73,E73)-1))))</f>
        <v>53</v>
      </c>
      <c r="U73" s="28">
        <f>IF('AAA Summary'!$L$59=4, H73, IF('AAA Summary'!$L$59=3, G73, IF('AAA Summary'!$L$59=2, F73, IF('AAA Summary'!$L$59=1, E73))))</f>
        <v>0.99</v>
      </c>
      <c r="V73">
        <f t="shared" si="25"/>
        <v>32</v>
      </c>
      <c r="W73" s="9">
        <f t="shared" si="26"/>
        <v>61</v>
      </c>
      <c r="X73" s="84" t="s">
        <v>638</v>
      </c>
      <c r="Y73" s="131">
        <v>0.42</v>
      </c>
      <c r="Z73" s="9">
        <v>69</v>
      </c>
      <c r="AA73">
        <v>34</v>
      </c>
      <c r="AB73">
        <v>113</v>
      </c>
      <c r="AC73">
        <f t="shared" si="27"/>
        <v>35</v>
      </c>
      <c r="AD73">
        <f t="shared" si="28"/>
        <v>44</v>
      </c>
      <c r="AE73">
        <v>56</v>
      </c>
      <c r="AF73">
        <v>42</v>
      </c>
      <c r="AG73">
        <v>30.967580000000002</v>
      </c>
      <c r="AH73">
        <v>54.594560000000001</v>
      </c>
      <c r="AI73" s="51">
        <f t="shared" ref="AI73:AI74" si="33">AF73-AG73</f>
        <v>11.032419999999998</v>
      </c>
      <c r="AJ73" s="51">
        <f t="shared" ref="AJ73:AJ74" si="34">AH73-AF73</f>
        <v>12.594560000000001</v>
      </c>
      <c r="AK73" s="51">
        <v>80</v>
      </c>
      <c r="AL73" s="135">
        <v>18</v>
      </c>
      <c r="AM73">
        <f>IF('AAA Summary'!$M$28=2, AF73, IF('AAA Summary'!$M$28=1,Z73))</f>
        <v>69</v>
      </c>
      <c r="AN73">
        <f>IF('AAA Summary'!$M$28=2, AI73, IF('AAA Summary'!$M$28=1,AC73))</f>
        <v>35</v>
      </c>
      <c r="AO73">
        <f>IF('AAA Summary'!$M$28=2, AJ73, IF('AAA Summary'!$M$28=1,AD73))</f>
        <v>44</v>
      </c>
      <c r="AP73">
        <f>IF('AAA Summary'!$M$28=2, AK73, IF('AAA Summary'!$M$28=1,AE73))</f>
        <v>56</v>
      </c>
    </row>
    <row r="74" spans="1:42" x14ac:dyDescent="0.25">
      <c r="A74" t="s">
        <v>22</v>
      </c>
      <c r="B74" s="74" t="s">
        <v>23</v>
      </c>
      <c r="C74" s="5">
        <v>40</v>
      </c>
      <c r="D74" s="5">
        <v>16</v>
      </c>
      <c r="E74" s="130">
        <v>0.9</v>
      </c>
      <c r="F74" s="130">
        <v>1</v>
      </c>
      <c r="G74" s="130">
        <v>0.97</v>
      </c>
      <c r="H74" s="130">
        <v>0.83</v>
      </c>
      <c r="I74" s="51">
        <f t="shared" si="19"/>
        <v>24</v>
      </c>
      <c r="J74" s="130">
        <v>0.4</v>
      </c>
      <c r="K74" s="130">
        <v>0.6</v>
      </c>
      <c r="L74" s="84" t="s">
        <v>586</v>
      </c>
      <c r="M74" s="84" t="s">
        <v>270</v>
      </c>
      <c r="N74" s="6">
        <v>0.02</v>
      </c>
      <c r="O74" t="str">
        <f t="shared" si="20"/>
        <v>RCB</v>
      </c>
      <c r="P74" s="22">
        <f t="shared" si="21"/>
        <v>2</v>
      </c>
      <c r="Q74" s="22">
        <f t="shared" si="22"/>
        <v>4</v>
      </c>
      <c r="R74" s="22">
        <f t="shared" si="23"/>
        <v>3</v>
      </c>
      <c r="S74" s="22">
        <f t="shared" si="24"/>
        <v>2</v>
      </c>
      <c r="T74" s="40">
        <f>IF('AAA Summary'!$L$59=4, RANK(H74,H$8:H$79,1)+COUNTIF($H$8:H74,H74)-1, IF('AAA Summary'!$L$59=3, RANK(G74,G$8:G$79,1)+COUNTIF($G$8:G74,G74)-1, IF('AAA Summary'!$L$59=2, RANK(F74,F$8:F$79,1)+COUNTIF($F$8:F74,F74)-1, IF('AAA Summary'!$L$59=1, RANK(E74,E$8:E$79,1)+COUNTIF($E$8:E74,E74)-1))))</f>
        <v>24</v>
      </c>
      <c r="U74" s="28">
        <f>IF('AAA Summary'!$L$59=4, H74, IF('AAA Summary'!$L$59=3, G74, IF('AAA Summary'!$L$59=2, F74, IF('AAA Summary'!$L$59=1, E74))))</f>
        <v>0.9</v>
      </c>
      <c r="V74">
        <f t="shared" si="25"/>
        <v>57</v>
      </c>
      <c r="W74" s="9">
        <f t="shared" si="26"/>
        <v>40</v>
      </c>
      <c r="X74" s="84" t="s">
        <v>585</v>
      </c>
      <c r="Y74" s="131">
        <v>0.39</v>
      </c>
      <c r="Z74" s="9">
        <v>70</v>
      </c>
      <c r="AA74">
        <v>30</v>
      </c>
      <c r="AB74">
        <v>107</v>
      </c>
      <c r="AC74">
        <f t="shared" si="27"/>
        <v>40</v>
      </c>
      <c r="AD74">
        <f t="shared" si="28"/>
        <v>37</v>
      </c>
      <c r="AE74">
        <v>56</v>
      </c>
      <c r="AF74">
        <v>39</v>
      </c>
      <c r="AG74">
        <v>23.142440000000001</v>
      </c>
      <c r="AH74">
        <v>56.536200000000001</v>
      </c>
      <c r="AI74" s="51">
        <f t="shared" si="33"/>
        <v>15.857559999999999</v>
      </c>
      <c r="AJ74" s="51">
        <f t="shared" si="34"/>
        <v>17.536200000000001</v>
      </c>
      <c r="AK74" s="51">
        <v>80</v>
      </c>
      <c r="AL74" s="135">
        <v>21</v>
      </c>
      <c r="AM74">
        <f>IF('AAA Summary'!$M$28=2, AF74, IF('AAA Summary'!$M$28=1,Z74))</f>
        <v>70</v>
      </c>
      <c r="AN74">
        <f>IF('AAA Summary'!$M$28=2, AI74, IF('AAA Summary'!$M$28=1,AC74))</f>
        <v>40</v>
      </c>
      <c r="AO74">
        <f>IF('AAA Summary'!$M$28=2, AJ74, IF('AAA Summary'!$M$28=1,AD74))</f>
        <v>37</v>
      </c>
      <c r="AP74">
        <f>IF('AAA Summary'!$M$28=2, AK74, IF('AAA Summary'!$M$28=1,AE74))</f>
        <v>56</v>
      </c>
    </row>
  </sheetData>
  <sortState ref="A8:AJ74">
    <sortCondition ref="B8"/>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7"/>
  <sheetViews>
    <sheetView topLeftCell="N1" zoomScale="60" zoomScaleNormal="60" workbookViewId="0">
      <selection activeCell="AN8" sqref="AN8"/>
    </sheetView>
  </sheetViews>
  <sheetFormatPr defaultRowHeight="15" x14ac:dyDescent="0.25"/>
  <cols>
    <col min="1" max="1" width="6.42578125" bestFit="1" customWidth="1"/>
    <col min="2" max="2" width="61" bestFit="1" customWidth="1"/>
    <col min="3" max="3" width="6" bestFit="1" customWidth="1"/>
    <col min="4" max="4" width="6.42578125" bestFit="1" customWidth="1"/>
    <col min="5" max="5" width="11.7109375" customWidth="1"/>
    <col min="6" max="6" width="11.42578125" customWidth="1"/>
    <col min="7" max="7" width="13" customWidth="1"/>
    <col min="8" max="11" width="11.42578125" customWidth="1"/>
    <col min="12" max="12" width="15.28515625" customWidth="1"/>
    <col min="13" max="13" width="17.140625" customWidth="1"/>
    <col min="14" max="14" width="13" customWidth="1"/>
    <col min="16" max="16" width="11.7109375" customWidth="1"/>
    <col min="17" max="17" width="12.140625" customWidth="1"/>
    <col min="18" max="18" width="11.28515625" customWidth="1"/>
    <col min="21" max="21" width="11.5703125" customWidth="1"/>
    <col min="28" max="28" width="17.85546875" customWidth="1"/>
    <col min="34" max="34" width="18" customWidth="1"/>
    <col min="35" max="35" width="17.5703125" customWidth="1"/>
    <col min="36" max="36" width="18.7109375" customWidth="1"/>
    <col min="37" max="37" width="18.28515625" customWidth="1"/>
  </cols>
  <sheetData>
    <row r="1" spans="1:40" x14ac:dyDescent="0.25">
      <c r="A1">
        <v>0</v>
      </c>
      <c r="B1" t="s">
        <v>258</v>
      </c>
      <c r="E1">
        <f t="shared" ref="E1:H5" si="0">QUARTILE(E$8:E$77,$A1)</f>
        <v>0</v>
      </c>
      <c r="F1">
        <f t="shared" si="0"/>
        <v>0</v>
      </c>
      <c r="G1">
        <f t="shared" si="0"/>
        <v>0.59259260000000002</v>
      </c>
      <c r="H1">
        <f t="shared" si="0"/>
        <v>0.1666667</v>
      </c>
    </row>
    <row r="2" spans="1:40" x14ac:dyDescent="0.25">
      <c r="A2">
        <v>1</v>
      </c>
      <c r="B2" t="s">
        <v>259</v>
      </c>
      <c r="E2">
        <f t="shared" si="0"/>
        <v>0.84813372500000006</v>
      </c>
      <c r="F2">
        <f t="shared" si="0"/>
        <v>0.97646097499999995</v>
      </c>
      <c r="G2">
        <f t="shared" si="0"/>
        <v>0.86885239999999997</v>
      </c>
      <c r="H2">
        <f t="shared" si="0"/>
        <v>0.8</v>
      </c>
    </row>
    <row r="3" spans="1:40" x14ac:dyDescent="0.25">
      <c r="A3">
        <v>2</v>
      </c>
      <c r="B3" t="s">
        <v>260</v>
      </c>
      <c r="E3">
        <f t="shared" si="0"/>
        <v>0.94868419999999998</v>
      </c>
      <c r="F3">
        <f t="shared" si="0"/>
        <v>1</v>
      </c>
      <c r="G3">
        <f t="shared" si="0"/>
        <v>0.95348829999999996</v>
      </c>
      <c r="H3">
        <f t="shared" si="0"/>
        <v>0.92307689999999998</v>
      </c>
    </row>
    <row r="4" spans="1:40" x14ac:dyDescent="0.25">
      <c r="A4">
        <v>3</v>
      </c>
      <c r="B4" t="s">
        <v>261</v>
      </c>
      <c r="E4">
        <f t="shared" si="0"/>
        <v>0.98397089999999998</v>
      </c>
      <c r="F4">
        <f t="shared" si="0"/>
        <v>1</v>
      </c>
      <c r="G4">
        <f t="shared" si="0"/>
        <v>1</v>
      </c>
      <c r="H4">
        <f t="shared" si="0"/>
        <v>1</v>
      </c>
    </row>
    <row r="5" spans="1:40" x14ac:dyDescent="0.25">
      <c r="A5">
        <v>4</v>
      </c>
      <c r="B5" t="s">
        <v>262</v>
      </c>
      <c r="E5">
        <f t="shared" si="0"/>
        <v>1</v>
      </c>
      <c r="F5">
        <f t="shared" si="0"/>
        <v>1</v>
      </c>
      <c r="G5">
        <f t="shared" si="0"/>
        <v>1</v>
      </c>
      <c r="H5">
        <f t="shared" si="0"/>
        <v>1</v>
      </c>
    </row>
    <row r="7" spans="1:40" ht="90" x14ac:dyDescent="0.25">
      <c r="A7" s="4" t="s">
        <v>385</v>
      </c>
      <c r="B7" s="4" t="s">
        <v>139</v>
      </c>
      <c r="C7" s="4" t="s">
        <v>148</v>
      </c>
      <c r="D7" s="4" t="s">
        <v>149</v>
      </c>
      <c r="E7" s="4" t="s">
        <v>156</v>
      </c>
      <c r="F7" s="4" t="s">
        <v>150</v>
      </c>
      <c r="G7" s="4" t="s">
        <v>151</v>
      </c>
      <c r="H7" s="4" t="s">
        <v>152</v>
      </c>
      <c r="I7" s="4" t="s">
        <v>364</v>
      </c>
      <c r="J7" s="4" t="s">
        <v>365</v>
      </c>
      <c r="K7" s="4" t="s">
        <v>366</v>
      </c>
      <c r="L7" s="4" t="s">
        <v>155</v>
      </c>
      <c r="M7" s="4" t="s">
        <v>154</v>
      </c>
      <c r="N7" s="4" t="s">
        <v>405</v>
      </c>
      <c r="O7" s="4" t="s">
        <v>140</v>
      </c>
      <c r="P7" s="11" t="s">
        <v>263</v>
      </c>
      <c r="Q7" s="25" t="s">
        <v>264</v>
      </c>
      <c r="R7" s="25" t="s">
        <v>265</v>
      </c>
      <c r="S7" s="25" t="s">
        <v>266</v>
      </c>
      <c r="T7" s="25" t="s">
        <v>276</v>
      </c>
      <c r="U7" s="25" t="s">
        <v>283</v>
      </c>
      <c r="V7" s="21" t="s">
        <v>367</v>
      </c>
      <c r="W7" s="21" t="s">
        <v>365</v>
      </c>
      <c r="X7" s="21" t="s">
        <v>493</v>
      </c>
      <c r="Y7" s="21" t="s">
        <v>494</v>
      </c>
      <c r="Z7" s="21" t="s">
        <v>495</v>
      </c>
      <c r="AA7" s="21" t="s">
        <v>496</v>
      </c>
      <c r="AB7" s="4" t="s">
        <v>153</v>
      </c>
      <c r="AC7" s="21" t="s">
        <v>246</v>
      </c>
      <c r="AD7" s="21" t="s">
        <v>253</v>
      </c>
      <c r="AE7" s="21" t="s">
        <v>254</v>
      </c>
      <c r="AF7" s="21" t="s">
        <v>497</v>
      </c>
      <c r="AG7" s="21" t="s">
        <v>498</v>
      </c>
      <c r="AH7" s="4" t="s">
        <v>330</v>
      </c>
      <c r="AI7" s="4" t="s">
        <v>330</v>
      </c>
      <c r="AJ7" s="4" t="s">
        <v>499</v>
      </c>
      <c r="AK7" s="4" t="s">
        <v>500</v>
      </c>
      <c r="AL7" s="11" t="s">
        <v>502</v>
      </c>
      <c r="AM7" s="11" t="s">
        <v>501</v>
      </c>
      <c r="AN7" s="11" t="s">
        <v>565</v>
      </c>
    </row>
    <row r="8" spans="1:40" x14ac:dyDescent="0.25">
      <c r="A8" s="5" t="s">
        <v>6</v>
      </c>
      <c r="B8" s="74" t="s">
        <v>7</v>
      </c>
      <c r="C8" s="5">
        <v>25</v>
      </c>
      <c r="D8" s="5">
        <v>11</v>
      </c>
      <c r="E8" s="86">
        <v>0.84</v>
      </c>
      <c r="F8" s="86">
        <v>0.92</v>
      </c>
      <c r="G8" s="86">
        <v>0.82608689999999996</v>
      </c>
      <c r="H8" s="86">
        <v>0.84</v>
      </c>
      <c r="I8" s="51">
        <f t="shared" ref="I8:I39" si="1">C8-D8</f>
        <v>14</v>
      </c>
      <c r="J8" s="86">
        <v>0.44</v>
      </c>
      <c r="K8" s="86">
        <v>0.56000000000000005</v>
      </c>
      <c r="L8" s="5" t="s">
        <v>184</v>
      </c>
      <c r="M8" s="5" t="s">
        <v>207</v>
      </c>
      <c r="N8" s="50">
        <v>2.640784</v>
      </c>
      <c r="O8" t="str">
        <f t="shared" ref="O8:O39" si="2">A8</f>
        <v>7A6</v>
      </c>
      <c r="P8" s="22">
        <f t="shared" ref="P8:P39" si="3">+IF(E8&lt;E$2,1,IF(E8&lt;E$3,2,IF(E8&lt;E$4,3,4)))</f>
        <v>1</v>
      </c>
      <c r="Q8" s="22">
        <f t="shared" ref="Q8:Q39" si="4">+IF(F8&lt;F$2,1,IF(F8&lt;F$3,2,IF(F8&lt;F$4,3,4)))</f>
        <v>1</v>
      </c>
      <c r="R8" s="22">
        <f t="shared" ref="R8:R39" si="5">+IF(G8&lt;G$2,1,IF(G8&lt;G$3,2,IF(G8&lt;G$4,3,4)))</f>
        <v>1</v>
      </c>
      <c r="S8" s="22">
        <f t="shared" ref="S8:S39" si="6">+IF(H8&lt;H$2,1,IF(H8&lt;H$3,2,IF(H8&lt;H$4,3,4)))</f>
        <v>2</v>
      </c>
      <c r="T8" s="40" t="e">
        <f>IF(#REF!=4, RANK(H8,H$8:H$81,1)+COUNTIF($H$8:H8,H8)-1, IF(#REF!=3, RANK(G8,G$8:G$81,1)+COUNTIF($G$8:G8,G8)-1, IF(#REF!=2, RANK(F8,F$8:F$81,1)+COUNTIF($F$8:F8,F8)-1, IF(#REF!=1, RANK(E8,E$8:E$81,1)+COUNTIF($E$8:E8,E8)-1))))</f>
        <v>#REF!</v>
      </c>
      <c r="U8" s="28" t="e">
        <f>IF(#REF!=4, H8, IF(#REF!=3, G8, IF(#REF!=2, F8, IF(#REF!=1, E8))))</f>
        <v>#REF!</v>
      </c>
      <c r="V8">
        <f t="shared" ref="V8:V39" si="7">RANK(J8,$J$8:$J$77)</f>
        <v>52</v>
      </c>
      <c r="W8" s="9">
        <f>J8*100</f>
        <v>44</v>
      </c>
      <c r="X8">
        <v>24.402370000000001</v>
      </c>
      <c r="Y8">
        <v>65.071840000000009</v>
      </c>
      <c r="Z8">
        <f>W8-X8</f>
        <v>19.597629999999999</v>
      </c>
      <c r="AA8">
        <f>Y8-X8</f>
        <v>40.669470000000004</v>
      </c>
      <c r="AB8" t="s">
        <v>503</v>
      </c>
      <c r="AC8">
        <v>89</v>
      </c>
      <c r="AD8">
        <v>45</v>
      </c>
      <c r="AE8">
        <v>161</v>
      </c>
      <c r="AF8">
        <f>AC8-AD8</f>
        <v>44</v>
      </c>
      <c r="AG8">
        <f>AE8-AC8</f>
        <v>72</v>
      </c>
      <c r="AH8" s="48">
        <v>0.38</v>
      </c>
      <c r="AI8">
        <v>38.095240000000004</v>
      </c>
      <c r="AJ8">
        <v>18.10716</v>
      </c>
      <c r="AK8">
        <v>61.56456</v>
      </c>
      <c r="AL8">
        <f>AI8-AJ8</f>
        <v>19.988080000000004</v>
      </c>
      <c r="AM8">
        <f>AK8-AI8</f>
        <v>23.469319999999996</v>
      </c>
      <c r="AN8">
        <v>34</v>
      </c>
    </row>
    <row r="9" spans="1:40" x14ac:dyDescent="0.25">
      <c r="A9" s="5" t="s">
        <v>30</v>
      </c>
      <c r="B9" s="74" t="s">
        <v>291</v>
      </c>
      <c r="C9" s="5">
        <v>18</v>
      </c>
      <c r="D9" s="5">
        <v>16</v>
      </c>
      <c r="E9" s="86">
        <v>0.94444439999999996</v>
      </c>
      <c r="F9" s="86">
        <v>1</v>
      </c>
      <c r="G9" s="86">
        <v>0.9375</v>
      </c>
      <c r="H9" s="86">
        <v>1</v>
      </c>
      <c r="I9" s="51">
        <f t="shared" si="1"/>
        <v>2</v>
      </c>
      <c r="J9" s="86">
        <v>0.88888888888888884</v>
      </c>
      <c r="K9" s="86">
        <v>0.1111111111111111</v>
      </c>
      <c r="L9" s="5" t="s">
        <v>193</v>
      </c>
      <c r="M9" s="5" t="s">
        <v>409</v>
      </c>
      <c r="N9" s="50">
        <v>5.1199409999999999</v>
      </c>
      <c r="O9" t="str">
        <f t="shared" si="2"/>
        <v>RF4</v>
      </c>
      <c r="P9" s="22">
        <f t="shared" si="3"/>
        <v>2</v>
      </c>
      <c r="Q9" s="22">
        <f t="shared" si="4"/>
        <v>4</v>
      </c>
      <c r="R9" s="22">
        <f t="shared" si="5"/>
        <v>2</v>
      </c>
      <c r="S9" s="22">
        <f t="shared" si="6"/>
        <v>4</v>
      </c>
      <c r="T9" s="40" t="e">
        <f>IF(#REF!=4, RANK(H9,H$8:H$81,1)+COUNTIF($H$8:H9,H9)-1, IF(#REF!=3, RANK(G9,G$8:G$81,1)+COUNTIF($G$8:G9,G9)-1, IF(#REF!=2, RANK(F9,F$8:F$81,1)+COUNTIF($F$8:F9,F9)-1, IF(#REF!=1, RANK(E9,E$8:E$81,1)+COUNTIF($E$8:E9,E9)-1))))</f>
        <v>#REF!</v>
      </c>
      <c r="U9" s="28" t="e">
        <f>IF(#REF!=4, H9, IF(#REF!=3, G9, IF(#REF!=2, F9, IF(#REF!=1, E9))))</f>
        <v>#REF!</v>
      </c>
      <c r="V9">
        <f t="shared" si="7"/>
        <v>7</v>
      </c>
      <c r="W9" s="9">
        <f t="shared" ref="W9:W72" si="8">J9*100</f>
        <v>88.888888888888886</v>
      </c>
      <c r="X9">
        <v>65.287949999999995</v>
      </c>
      <c r="Y9">
        <v>98.624880000000005</v>
      </c>
      <c r="Z9">
        <f t="shared" ref="Z9:Z72" si="9">W9-X9</f>
        <v>23.600938888888891</v>
      </c>
      <c r="AA9">
        <f t="shared" ref="AA9:AA72" si="10">Y9-X9</f>
        <v>33.336930000000009</v>
      </c>
      <c r="AB9" t="s">
        <v>504</v>
      </c>
      <c r="AC9">
        <v>52</v>
      </c>
      <c r="AD9">
        <v>28</v>
      </c>
      <c r="AE9">
        <v>93</v>
      </c>
      <c r="AF9">
        <f t="shared" ref="AF9:AF72" si="11">AC9-AD9</f>
        <v>24</v>
      </c>
      <c r="AG9">
        <f t="shared" ref="AG9:AG72" si="12">AE9-AC9</f>
        <v>41</v>
      </c>
      <c r="AH9" s="48">
        <v>0.53</v>
      </c>
      <c r="AI9">
        <v>52.941179999999996</v>
      </c>
      <c r="AJ9">
        <v>27.811829999999997</v>
      </c>
      <c r="AK9">
        <v>77.016729999999995</v>
      </c>
      <c r="AL9">
        <f t="shared" ref="AL9:AL72" si="13">AI9-AJ9</f>
        <v>25.129349999999999</v>
      </c>
      <c r="AM9">
        <f t="shared" ref="AM9:AM72" si="14">AK9-AI9</f>
        <v>24.07555</v>
      </c>
      <c r="AN9">
        <v>4</v>
      </c>
    </row>
    <row r="10" spans="1:40" x14ac:dyDescent="0.25">
      <c r="A10" s="5" t="s">
        <v>10</v>
      </c>
      <c r="B10" s="74" t="s">
        <v>11</v>
      </c>
      <c r="C10" s="5">
        <v>4</v>
      </c>
      <c r="D10" s="5">
        <v>1</v>
      </c>
      <c r="E10" s="86">
        <v>1</v>
      </c>
      <c r="F10" s="86">
        <v>1</v>
      </c>
      <c r="G10" s="86">
        <v>1</v>
      </c>
      <c r="H10" s="86">
        <v>1</v>
      </c>
      <c r="I10" s="51">
        <f t="shared" si="1"/>
        <v>3</v>
      </c>
      <c r="J10" s="86">
        <v>0.25</v>
      </c>
      <c r="K10" s="86">
        <v>0.75</v>
      </c>
      <c r="L10" s="5" t="s">
        <v>409</v>
      </c>
      <c r="M10" s="5" t="s">
        <v>410</v>
      </c>
      <c r="N10" s="50">
        <v>0</v>
      </c>
      <c r="O10" t="str">
        <f t="shared" si="2"/>
        <v>R1H</v>
      </c>
      <c r="P10" s="22">
        <f t="shared" si="3"/>
        <v>4</v>
      </c>
      <c r="Q10" s="22">
        <f t="shared" si="4"/>
        <v>4</v>
      </c>
      <c r="R10" s="22">
        <f t="shared" si="5"/>
        <v>4</v>
      </c>
      <c r="S10" s="22">
        <f t="shared" si="6"/>
        <v>4</v>
      </c>
      <c r="T10" s="40" t="e">
        <f>IF(#REF!=4, RANK(H10,H$8:H$81,1)+COUNTIF($H$8:H10,H10)-1, IF(#REF!=3, RANK(G10,G$8:G$81,1)+COUNTIF($G$8:G10,G10)-1, IF(#REF!=2, RANK(F10,F$8:F$81,1)+COUNTIF($F$8:F10,F10)-1, IF(#REF!=1, RANK(E10,E$8:E$81,1)+COUNTIF($E$8:E10,E10)-1))))</f>
        <v>#REF!</v>
      </c>
      <c r="U10" s="28" t="e">
        <f>IF(#REF!=4, H10, IF(#REF!=3, G10, IF(#REF!=2, F10, IF(#REF!=1, E10))))</f>
        <v>#REF!</v>
      </c>
      <c r="V10">
        <f t="shared" si="7"/>
        <v>66</v>
      </c>
      <c r="W10" s="9">
        <f t="shared" si="8"/>
        <v>25</v>
      </c>
      <c r="X10" t="e">
        <v>#N/A</v>
      </c>
      <c r="Y10" t="e">
        <v>#N/A</v>
      </c>
      <c r="Z10" t="e">
        <f t="shared" si="9"/>
        <v>#N/A</v>
      </c>
      <c r="AA10" t="e">
        <f t="shared" si="10"/>
        <v>#N/A</v>
      </c>
      <c r="AB10" t="e">
        <v>#N/A</v>
      </c>
      <c r="AC10" t="e">
        <v>#N/A</v>
      </c>
      <c r="AD10" t="e">
        <v>#N/A</v>
      </c>
      <c r="AE10" t="e">
        <v>#N/A</v>
      </c>
      <c r="AF10" t="e">
        <f t="shared" si="11"/>
        <v>#N/A</v>
      </c>
      <c r="AG10" t="e">
        <f t="shared" si="12"/>
        <v>#N/A</v>
      </c>
      <c r="AH10" t="e">
        <v>#N/A</v>
      </c>
      <c r="AI10" t="e">
        <v>#N/A</v>
      </c>
      <c r="AJ10" t="e">
        <v>#N/A</v>
      </c>
      <c r="AK10" t="e">
        <v>#N/A</v>
      </c>
      <c r="AL10" t="e">
        <f t="shared" si="13"/>
        <v>#N/A</v>
      </c>
      <c r="AM10" t="e">
        <f t="shared" si="14"/>
        <v>#N/A</v>
      </c>
      <c r="AN10" t="e">
        <v>#N/A</v>
      </c>
    </row>
    <row r="11" spans="1:40" x14ac:dyDescent="0.25">
      <c r="A11" s="5" t="s">
        <v>417</v>
      </c>
      <c r="B11" s="74" t="s">
        <v>418</v>
      </c>
      <c r="C11" s="5">
        <v>51</v>
      </c>
      <c r="D11" s="5">
        <v>48</v>
      </c>
      <c r="E11" s="86">
        <v>1</v>
      </c>
      <c r="F11" s="86">
        <v>1</v>
      </c>
      <c r="G11" s="86">
        <v>1</v>
      </c>
      <c r="H11" s="86">
        <v>0.8823529</v>
      </c>
      <c r="I11" s="51">
        <f t="shared" si="1"/>
        <v>3</v>
      </c>
      <c r="J11" s="86">
        <v>0.94117647058823528</v>
      </c>
      <c r="K11" s="86">
        <v>5.8823529411764705E-2</v>
      </c>
      <c r="L11" s="5" t="s">
        <v>189</v>
      </c>
      <c r="M11" s="5" t="s">
        <v>419</v>
      </c>
      <c r="N11" s="50">
        <v>2.6406369999999999</v>
      </c>
      <c r="O11" t="str">
        <f t="shared" si="2"/>
        <v>RC9</v>
      </c>
      <c r="P11" s="22">
        <f t="shared" si="3"/>
        <v>4</v>
      </c>
      <c r="Q11" s="22">
        <f t="shared" si="4"/>
        <v>4</v>
      </c>
      <c r="R11" s="22">
        <f t="shared" si="5"/>
        <v>4</v>
      </c>
      <c r="S11" s="22">
        <f t="shared" si="6"/>
        <v>2</v>
      </c>
      <c r="T11" s="40" t="e">
        <f>IF(#REF!=4, RANK(H11,H$8:H$81,1)+COUNTIF($H$8:H11,H11)-1, IF(#REF!=3, RANK(G11,G$8:G$81,1)+COUNTIF($G$8:G11,G11)-1, IF(#REF!=2, RANK(F11,F$8:F$81,1)+COUNTIF($F$8:F11,F11)-1, IF(#REF!=1, RANK(E11,E$8:E$81,1)+COUNTIF($E$8:E11,E11)-1))))</f>
        <v>#REF!</v>
      </c>
      <c r="U11" s="28" t="e">
        <f>IF(#REF!=4, H11, IF(#REF!=3, G11, IF(#REF!=2, F11, IF(#REF!=1, E11))))</f>
        <v>#REF!</v>
      </c>
      <c r="V11">
        <f t="shared" si="7"/>
        <v>6</v>
      </c>
      <c r="W11" s="9">
        <f t="shared" si="8"/>
        <v>94.117647058823522</v>
      </c>
      <c r="X11">
        <v>83.757779999999997</v>
      </c>
      <c r="Y11">
        <v>98.770089999999996</v>
      </c>
      <c r="Z11">
        <f t="shared" si="9"/>
        <v>10.359867058823525</v>
      </c>
      <c r="AA11">
        <f t="shared" si="10"/>
        <v>15.012309999999999</v>
      </c>
      <c r="AB11" t="s">
        <v>505</v>
      </c>
      <c r="AC11">
        <v>72</v>
      </c>
      <c r="AD11">
        <v>33</v>
      </c>
      <c r="AE11">
        <v>170</v>
      </c>
      <c r="AF11">
        <f t="shared" si="11"/>
        <v>39</v>
      </c>
      <c r="AG11">
        <f t="shared" si="12"/>
        <v>98</v>
      </c>
      <c r="AH11" s="48">
        <v>0.41</v>
      </c>
      <c r="AI11">
        <v>41.176469999999995</v>
      </c>
      <c r="AJ11">
        <v>27.584299999999999</v>
      </c>
      <c r="AK11">
        <v>55.830719999999999</v>
      </c>
      <c r="AL11">
        <f t="shared" si="13"/>
        <v>13.592169999999996</v>
      </c>
      <c r="AM11">
        <f t="shared" si="14"/>
        <v>14.654250000000005</v>
      </c>
      <c r="AN11">
        <v>18</v>
      </c>
    </row>
    <row r="12" spans="1:40" x14ac:dyDescent="0.25">
      <c r="A12" s="5" t="s">
        <v>137</v>
      </c>
      <c r="B12" s="74" t="s">
        <v>138</v>
      </c>
      <c r="C12" s="5">
        <v>93</v>
      </c>
      <c r="D12" s="5">
        <v>46</v>
      </c>
      <c r="E12" s="86">
        <v>0.92473119999999998</v>
      </c>
      <c r="F12" s="86">
        <v>0.98924730000000005</v>
      </c>
      <c r="G12" s="86">
        <v>0.92307689999999998</v>
      </c>
      <c r="H12" s="86">
        <v>0.79569889999999999</v>
      </c>
      <c r="I12" s="51">
        <f t="shared" si="1"/>
        <v>47</v>
      </c>
      <c r="J12" s="86">
        <v>0.4946236559139785</v>
      </c>
      <c r="K12" s="86">
        <v>0.5053763440860215</v>
      </c>
      <c r="L12" s="5" t="s">
        <v>175</v>
      </c>
      <c r="M12" s="5" t="s">
        <v>223</v>
      </c>
      <c r="N12" s="50">
        <v>0.33602720000000003</v>
      </c>
      <c r="O12" t="str">
        <f t="shared" si="2"/>
        <v>ZT001</v>
      </c>
      <c r="P12" s="22">
        <f t="shared" si="3"/>
        <v>2</v>
      </c>
      <c r="Q12" s="22">
        <f t="shared" si="4"/>
        <v>2</v>
      </c>
      <c r="R12" s="22">
        <f t="shared" si="5"/>
        <v>2</v>
      </c>
      <c r="S12" s="22">
        <f t="shared" si="6"/>
        <v>1</v>
      </c>
      <c r="T12" s="40" t="e">
        <f>IF(#REF!=4, RANK(H12,H$8:H$81,1)+COUNTIF($H$8:H12,H12)-1, IF(#REF!=3, RANK(G12,G$8:G$81,1)+COUNTIF($G$8:G12,G12)-1, IF(#REF!=2, RANK(F12,F$8:F$81,1)+COUNTIF($F$8:F12,F12)-1, IF(#REF!=1, RANK(E12,E$8:E$81,1)+COUNTIF($E$8:E12,E12)-1))))</f>
        <v>#REF!</v>
      </c>
      <c r="U12" s="28" t="e">
        <f>IF(#REF!=4, H12, IF(#REF!=3, G12, IF(#REF!=2, F12, IF(#REF!=1, E12))))</f>
        <v>#REF!</v>
      </c>
      <c r="V12">
        <f t="shared" si="7"/>
        <v>47</v>
      </c>
      <c r="W12" s="9">
        <f t="shared" si="8"/>
        <v>49.462365591397848</v>
      </c>
      <c r="X12">
        <v>38.928550000000001</v>
      </c>
      <c r="Y12">
        <v>60.031359999999999</v>
      </c>
      <c r="Z12">
        <f t="shared" si="9"/>
        <v>10.533815591397847</v>
      </c>
      <c r="AA12">
        <f t="shared" si="10"/>
        <v>21.102809999999998</v>
      </c>
      <c r="AB12" t="s">
        <v>506</v>
      </c>
      <c r="AC12">
        <v>127</v>
      </c>
      <c r="AD12">
        <v>75</v>
      </c>
      <c r="AE12">
        <v>184</v>
      </c>
      <c r="AF12">
        <f t="shared" si="11"/>
        <v>52</v>
      </c>
      <c r="AG12">
        <f t="shared" si="12"/>
        <v>57</v>
      </c>
      <c r="AH12" s="48">
        <v>0.16</v>
      </c>
      <c r="AI12">
        <v>16.279070000000001</v>
      </c>
      <c r="AJ12">
        <v>9.195689999999999</v>
      </c>
      <c r="AK12">
        <v>25.802609999999998</v>
      </c>
      <c r="AL12">
        <f t="shared" si="13"/>
        <v>7.0833800000000018</v>
      </c>
      <c r="AM12">
        <f t="shared" si="14"/>
        <v>9.523539999999997</v>
      </c>
      <c r="AN12">
        <v>51</v>
      </c>
    </row>
    <row r="13" spans="1:40" x14ac:dyDescent="0.25">
      <c r="A13" s="5" t="s">
        <v>0</v>
      </c>
      <c r="B13" s="74" t="s">
        <v>1</v>
      </c>
      <c r="C13" s="5">
        <v>44</v>
      </c>
      <c r="D13" s="5">
        <v>37</v>
      </c>
      <c r="E13" s="86">
        <v>0.97727269999999999</v>
      </c>
      <c r="F13" s="86">
        <v>1</v>
      </c>
      <c r="G13" s="86">
        <v>0.9736842</v>
      </c>
      <c r="H13" s="86">
        <v>0.95454539999999999</v>
      </c>
      <c r="I13" s="51">
        <f t="shared" si="1"/>
        <v>7</v>
      </c>
      <c r="J13" s="86">
        <v>0.84090909090909094</v>
      </c>
      <c r="K13" s="86">
        <v>0.15909090909090909</v>
      </c>
      <c r="L13" s="5" t="s">
        <v>202</v>
      </c>
      <c r="M13" s="5" t="s">
        <v>316</v>
      </c>
      <c r="N13" s="50">
        <v>4.4191940000000001</v>
      </c>
      <c r="O13" t="str">
        <f t="shared" si="2"/>
        <v>7A1</v>
      </c>
      <c r="P13" s="22">
        <f t="shared" si="3"/>
        <v>3</v>
      </c>
      <c r="Q13" s="22">
        <f t="shared" si="4"/>
        <v>4</v>
      </c>
      <c r="R13" s="22">
        <f t="shared" si="5"/>
        <v>3</v>
      </c>
      <c r="S13" s="22">
        <f t="shared" si="6"/>
        <v>3</v>
      </c>
      <c r="T13" s="40" t="e">
        <f>IF(#REF!=4, RANK(H13,H$8:H$81,1)+COUNTIF($H$8:H13,H13)-1, IF(#REF!=3, RANK(G13,G$8:G$81,1)+COUNTIF($G$8:G13,G13)-1, IF(#REF!=2, RANK(F13,F$8:F$81,1)+COUNTIF($F$8:F13,F13)-1, IF(#REF!=1, RANK(E13,E$8:E$81,1)+COUNTIF($E$8:E13,E13)-1))))</f>
        <v>#REF!</v>
      </c>
      <c r="U13" s="28" t="e">
        <f>IF(#REF!=4, H13, IF(#REF!=3, G13, IF(#REF!=2, F13, IF(#REF!=1, E13))))</f>
        <v>#REF!</v>
      </c>
      <c r="V13">
        <f t="shared" si="7"/>
        <v>10</v>
      </c>
      <c r="W13" s="9">
        <f t="shared" si="8"/>
        <v>84.090909090909093</v>
      </c>
      <c r="X13">
        <v>69.93468</v>
      </c>
      <c r="Y13">
        <v>93.35566</v>
      </c>
      <c r="Z13">
        <f t="shared" si="9"/>
        <v>14.156229090909093</v>
      </c>
      <c r="AA13">
        <f t="shared" si="10"/>
        <v>23.42098</v>
      </c>
      <c r="AB13" t="s">
        <v>507</v>
      </c>
      <c r="AC13">
        <v>100</v>
      </c>
      <c r="AD13">
        <v>55</v>
      </c>
      <c r="AE13">
        <v>151</v>
      </c>
      <c r="AF13">
        <f t="shared" si="11"/>
        <v>45</v>
      </c>
      <c r="AG13">
        <f t="shared" si="12"/>
        <v>51</v>
      </c>
      <c r="AH13" s="48">
        <v>0.26</v>
      </c>
      <c r="AI13">
        <v>25.581399999999999</v>
      </c>
      <c r="AJ13">
        <v>13.518599999999999</v>
      </c>
      <c r="AK13">
        <v>41.171570000000003</v>
      </c>
      <c r="AL13">
        <f t="shared" si="13"/>
        <v>12.062799999999999</v>
      </c>
      <c r="AM13">
        <f t="shared" si="14"/>
        <v>15.590170000000004</v>
      </c>
      <c r="AN13">
        <v>40</v>
      </c>
    </row>
    <row r="14" spans="1:40" x14ac:dyDescent="0.25">
      <c r="A14" s="5" t="s">
        <v>15</v>
      </c>
      <c r="B14" s="74" t="s">
        <v>16</v>
      </c>
      <c r="C14" s="5">
        <v>35</v>
      </c>
      <c r="D14" s="5">
        <v>21</v>
      </c>
      <c r="E14" s="86">
        <v>1</v>
      </c>
      <c r="F14" s="86">
        <v>0.97142859999999998</v>
      </c>
      <c r="G14" s="86">
        <v>1</v>
      </c>
      <c r="H14" s="86">
        <v>0.97142859999999998</v>
      </c>
      <c r="I14" s="51">
        <f t="shared" si="1"/>
        <v>14</v>
      </c>
      <c r="J14" s="86">
        <v>0.6</v>
      </c>
      <c r="K14" s="86">
        <v>0.4</v>
      </c>
      <c r="L14" s="5" t="s">
        <v>185</v>
      </c>
      <c r="M14" s="5" t="s">
        <v>413</v>
      </c>
      <c r="N14" s="50">
        <v>0</v>
      </c>
      <c r="O14" t="str">
        <f t="shared" si="2"/>
        <v>RAE</v>
      </c>
      <c r="P14" s="22">
        <f t="shared" si="3"/>
        <v>4</v>
      </c>
      <c r="Q14" s="22">
        <f t="shared" si="4"/>
        <v>1</v>
      </c>
      <c r="R14" s="22">
        <f t="shared" si="5"/>
        <v>4</v>
      </c>
      <c r="S14" s="22">
        <f t="shared" si="6"/>
        <v>3</v>
      </c>
      <c r="T14" s="40" t="e">
        <f>IF(#REF!=4, RANK(H14,H$8:H$81,1)+COUNTIF($H$8:H14,H14)-1, IF(#REF!=3, RANK(G14,G$8:G$81,1)+COUNTIF($G$8:G14,G14)-1, IF(#REF!=2, RANK(F14,F$8:F$81,1)+COUNTIF($F$8:F14,F14)-1, IF(#REF!=1, RANK(E14,E$8:E$81,1)+COUNTIF($E$8:E14,E14)-1))))</f>
        <v>#REF!</v>
      </c>
      <c r="U14" s="28" t="e">
        <f>IF(#REF!=4, H14, IF(#REF!=3, G14, IF(#REF!=2, F14, IF(#REF!=1, E14))))</f>
        <v>#REF!</v>
      </c>
      <c r="V14">
        <f t="shared" si="7"/>
        <v>31</v>
      </c>
      <c r="W14" s="9">
        <f t="shared" si="8"/>
        <v>60</v>
      </c>
      <c r="X14">
        <v>42.11177</v>
      </c>
      <c r="Y14">
        <v>76.129190000000008</v>
      </c>
      <c r="Z14">
        <f t="shared" si="9"/>
        <v>17.88823</v>
      </c>
      <c r="AA14">
        <f t="shared" si="10"/>
        <v>34.017420000000008</v>
      </c>
      <c r="AB14" t="s">
        <v>508</v>
      </c>
      <c r="AC14">
        <v>68</v>
      </c>
      <c r="AD14">
        <v>43</v>
      </c>
      <c r="AE14">
        <v>127</v>
      </c>
      <c r="AF14">
        <f t="shared" si="11"/>
        <v>25</v>
      </c>
      <c r="AG14">
        <f t="shared" si="12"/>
        <v>59</v>
      </c>
      <c r="AH14" s="48">
        <v>0.37</v>
      </c>
      <c r="AI14">
        <v>37.142859999999999</v>
      </c>
      <c r="AJ14">
        <v>21.473210000000002</v>
      </c>
      <c r="AK14">
        <v>55.076889999999999</v>
      </c>
      <c r="AL14">
        <f t="shared" si="13"/>
        <v>15.669649999999997</v>
      </c>
      <c r="AM14">
        <f t="shared" si="14"/>
        <v>17.93403</v>
      </c>
      <c r="AN14">
        <v>14</v>
      </c>
    </row>
    <row r="15" spans="1:40" x14ac:dyDescent="0.25">
      <c r="A15" s="5" t="s">
        <v>35</v>
      </c>
      <c r="B15" s="74" t="s">
        <v>36</v>
      </c>
      <c r="C15" s="5">
        <v>72</v>
      </c>
      <c r="D15" s="5">
        <v>28</v>
      </c>
      <c r="E15" s="86">
        <v>0.76388889999999998</v>
      </c>
      <c r="F15" s="86">
        <v>1</v>
      </c>
      <c r="G15" s="86">
        <v>0.76119409999999998</v>
      </c>
      <c r="H15" s="86">
        <v>0.91666669999999995</v>
      </c>
      <c r="I15" s="51">
        <f t="shared" si="1"/>
        <v>44</v>
      </c>
      <c r="J15" s="86">
        <v>0.3888888888888889</v>
      </c>
      <c r="K15" s="86">
        <v>0.61111111111111116</v>
      </c>
      <c r="L15" s="5" t="s">
        <v>193</v>
      </c>
      <c r="M15" s="5" t="s">
        <v>191</v>
      </c>
      <c r="N15" s="50">
        <v>0</v>
      </c>
      <c r="O15" t="str">
        <f t="shared" si="2"/>
        <v>RGT</v>
      </c>
      <c r="P15" s="22">
        <f t="shared" si="3"/>
        <v>1</v>
      </c>
      <c r="Q15" s="22">
        <f t="shared" si="4"/>
        <v>4</v>
      </c>
      <c r="R15" s="22">
        <f t="shared" si="5"/>
        <v>1</v>
      </c>
      <c r="S15" s="22">
        <f t="shared" si="6"/>
        <v>2</v>
      </c>
      <c r="T15" s="40" t="e">
        <f>IF(#REF!=4, RANK(H15,H$8:H$81,1)+COUNTIF($H$8:H15,H15)-1, IF(#REF!=3, RANK(G15,G$8:G$81,1)+COUNTIF($G$8:G15,G15)-1, IF(#REF!=2, RANK(F15,F$8:F$81,1)+COUNTIF($F$8:F15,F15)-1, IF(#REF!=1, RANK(E15,E$8:E$81,1)+COUNTIF($E$8:E15,E15)-1))))</f>
        <v>#REF!</v>
      </c>
      <c r="U15" s="28" t="e">
        <f>IF(#REF!=4, H15, IF(#REF!=3, G15, IF(#REF!=2, F15, IF(#REF!=1, E15))))</f>
        <v>#REF!</v>
      </c>
      <c r="V15">
        <f t="shared" si="7"/>
        <v>59</v>
      </c>
      <c r="W15" s="9">
        <f t="shared" si="8"/>
        <v>38.888888888888893</v>
      </c>
      <c r="X15">
        <v>27.615469999999998</v>
      </c>
      <c r="Y15">
        <v>51.106300000000005</v>
      </c>
      <c r="Z15">
        <f t="shared" si="9"/>
        <v>11.273418888888894</v>
      </c>
      <c r="AA15">
        <f t="shared" si="10"/>
        <v>23.490830000000006</v>
      </c>
      <c r="AB15" t="s">
        <v>509</v>
      </c>
      <c r="AC15">
        <v>126</v>
      </c>
      <c r="AD15">
        <v>72</v>
      </c>
      <c r="AE15">
        <v>194</v>
      </c>
      <c r="AF15">
        <f t="shared" si="11"/>
        <v>54</v>
      </c>
      <c r="AG15">
        <f t="shared" si="12"/>
        <v>68</v>
      </c>
      <c r="AH15" s="48">
        <v>0.15</v>
      </c>
      <c r="AI15">
        <v>14.545449999999999</v>
      </c>
      <c r="AJ15">
        <v>6.495140000000001</v>
      </c>
      <c r="AK15">
        <v>26.663229999999999</v>
      </c>
      <c r="AL15">
        <f t="shared" si="13"/>
        <v>8.0503099999999979</v>
      </c>
      <c r="AM15">
        <f t="shared" si="14"/>
        <v>12.11778</v>
      </c>
      <c r="AN15">
        <v>50</v>
      </c>
    </row>
    <row r="16" spans="1:40" x14ac:dyDescent="0.25">
      <c r="A16" s="5" t="s">
        <v>3</v>
      </c>
      <c r="B16" s="74" t="s">
        <v>4</v>
      </c>
      <c r="C16" s="5">
        <v>13</v>
      </c>
      <c r="D16" s="5">
        <v>6</v>
      </c>
      <c r="E16" s="86">
        <v>1</v>
      </c>
      <c r="F16" s="86">
        <v>1</v>
      </c>
      <c r="G16" s="86">
        <v>1</v>
      </c>
      <c r="H16" s="86">
        <v>0.92307689999999998</v>
      </c>
      <c r="I16" s="51">
        <f t="shared" si="1"/>
        <v>7</v>
      </c>
      <c r="J16" s="86">
        <v>0.46153846153846156</v>
      </c>
      <c r="K16" s="86">
        <v>0.53846153846153844</v>
      </c>
      <c r="L16" s="5" t="s">
        <v>306</v>
      </c>
      <c r="M16" s="5" t="s">
        <v>267</v>
      </c>
      <c r="N16" s="50">
        <v>2.3157890000000001</v>
      </c>
      <c r="O16" t="str">
        <f t="shared" si="2"/>
        <v>7A4</v>
      </c>
      <c r="P16" s="22">
        <f t="shared" si="3"/>
        <v>4</v>
      </c>
      <c r="Q16" s="22">
        <f t="shared" si="4"/>
        <v>4</v>
      </c>
      <c r="R16" s="22">
        <f t="shared" si="5"/>
        <v>4</v>
      </c>
      <c r="S16" s="22">
        <f t="shared" si="6"/>
        <v>3</v>
      </c>
      <c r="T16" s="40" t="e">
        <f>IF(#REF!=4, RANK(H16,H$8:H$81,1)+COUNTIF($H$8:H16,H16)-1, IF(#REF!=3, RANK(G16,G$8:G$81,1)+COUNTIF($G$8:G16,G16)-1, IF(#REF!=2, RANK(F16,F$8:F$81,1)+COUNTIF($F$8:F16,F16)-1, IF(#REF!=1, RANK(E16,E$8:E$81,1)+COUNTIF($E$8:E16,E16)-1))))</f>
        <v>#REF!</v>
      </c>
      <c r="U16" s="28" t="e">
        <f>IF(#REF!=4, H16, IF(#REF!=3, G16, IF(#REF!=2, F16, IF(#REF!=1, E16))))</f>
        <v>#REF!</v>
      </c>
      <c r="V16">
        <f t="shared" si="7"/>
        <v>51</v>
      </c>
      <c r="W16" s="9">
        <f t="shared" si="8"/>
        <v>46.153846153846153</v>
      </c>
      <c r="X16">
        <v>19.223240000000001</v>
      </c>
      <c r="Y16">
        <v>74.865449999999996</v>
      </c>
      <c r="Z16">
        <f t="shared" si="9"/>
        <v>26.930606153846153</v>
      </c>
      <c r="AA16">
        <f t="shared" si="10"/>
        <v>55.642209999999992</v>
      </c>
      <c r="AB16" t="s">
        <v>510</v>
      </c>
      <c r="AC16">
        <v>68</v>
      </c>
      <c r="AD16">
        <v>30</v>
      </c>
      <c r="AE16">
        <v>98</v>
      </c>
      <c r="AF16">
        <f t="shared" si="11"/>
        <v>38</v>
      </c>
      <c r="AG16">
        <f t="shared" si="12"/>
        <v>30</v>
      </c>
      <c r="AH16" s="48">
        <v>0.46</v>
      </c>
      <c r="AI16">
        <v>46.153849999999998</v>
      </c>
      <c r="AJ16">
        <v>19.223240000000001</v>
      </c>
      <c r="AK16">
        <v>74.865449999999996</v>
      </c>
      <c r="AL16">
        <f t="shared" si="13"/>
        <v>26.930609999999998</v>
      </c>
      <c r="AM16">
        <f t="shared" si="14"/>
        <v>28.711599999999997</v>
      </c>
      <c r="AN16">
        <v>13</v>
      </c>
    </row>
    <row r="17" spans="1:40" x14ac:dyDescent="0.25">
      <c r="A17" s="5" t="s">
        <v>51</v>
      </c>
      <c r="B17" s="74" t="s">
        <v>52</v>
      </c>
      <c r="C17" s="5">
        <v>45</v>
      </c>
      <c r="D17" s="5">
        <v>39</v>
      </c>
      <c r="E17" s="86">
        <v>0.95555559999999995</v>
      </c>
      <c r="F17" s="86">
        <v>1</v>
      </c>
      <c r="G17" s="86">
        <v>0.97560979999999997</v>
      </c>
      <c r="H17" s="86">
        <v>0.8</v>
      </c>
      <c r="I17" s="51">
        <f t="shared" si="1"/>
        <v>6</v>
      </c>
      <c r="J17" s="86">
        <v>0.8666666666666667</v>
      </c>
      <c r="K17" s="86">
        <v>0.13333333333333333</v>
      </c>
      <c r="L17" s="5" t="s">
        <v>189</v>
      </c>
      <c r="M17" s="5" t="s">
        <v>425</v>
      </c>
      <c r="N17" s="50">
        <v>2.3570229999999999</v>
      </c>
      <c r="O17" t="str">
        <f t="shared" si="2"/>
        <v>RJR</v>
      </c>
      <c r="P17" s="22">
        <f t="shared" si="3"/>
        <v>3</v>
      </c>
      <c r="Q17" s="22">
        <f t="shared" si="4"/>
        <v>4</v>
      </c>
      <c r="R17" s="22">
        <f t="shared" si="5"/>
        <v>3</v>
      </c>
      <c r="S17" s="22">
        <f t="shared" si="6"/>
        <v>2</v>
      </c>
      <c r="T17" s="40" t="e">
        <f>IF(#REF!=4, RANK(H17,H$8:H$81,1)+COUNTIF($H$8:H17,H17)-1, IF(#REF!=3, RANK(G17,G$8:G$81,1)+COUNTIF($G$8:G17,G17)-1, IF(#REF!=2, RANK(F17,F$8:F$81,1)+COUNTIF($F$8:F17,F17)-1, IF(#REF!=1, RANK(E17,E$8:E$81,1)+COUNTIF($E$8:E17,E17)-1))))</f>
        <v>#REF!</v>
      </c>
      <c r="U17" s="28" t="e">
        <f>IF(#REF!=4, H17, IF(#REF!=3, G17, IF(#REF!=2, F17, IF(#REF!=1, E17))))</f>
        <v>#REF!</v>
      </c>
      <c r="V17">
        <f t="shared" si="7"/>
        <v>9</v>
      </c>
      <c r="W17" s="9">
        <f t="shared" si="8"/>
        <v>86.666666666666671</v>
      </c>
      <c r="X17">
        <v>73.20750000000001</v>
      </c>
      <c r="Y17">
        <v>94.945760000000007</v>
      </c>
      <c r="Z17">
        <f t="shared" si="9"/>
        <v>13.459166666666661</v>
      </c>
      <c r="AA17">
        <f t="shared" si="10"/>
        <v>21.738259999999997</v>
      </c>
      <c r="AB17" t="s">
        <v>511</v>
      </c>
      <c r="AC17">
        <v>75</v>
      </c>
      <c r="AD17">
        <v>38</v>
      </c>
      <c r="AE17">
        <v>106</v>
      </c>
      <c r="AF17">
        <f t="shared" si="11"/>
        <v>37</v>
      </c>
      <c r="AG17">
        <f t="shared" si="12"/>
        <v>31</v>
      </c>
      <c r="AH17" s="48">
        <v>0.3</v>
      </c>
      <c r="AI17">
        <v>30.232560000000003</v>
      </c>
      <c r="AJ17">
        <v>17.182500000000001</v>
      </c>
      <c r="AK17">
        <v>46.125329999999998</v>
      </c>
      <c r="AL17">
        <f t="shared" si="13"/>
        <v>13.050060000000002</v>
      </c>
      <c r="AM17">
        <f t="shared" si="14"/>
        <v>15.892769999999995</v>
      </c>
      <c r="AN17">
        <v>20</v>
      </c>
    </row>
    <row r="18" spans="1:40" x14ac:dyDescent="0.25">
      <c r="A18" s="5" t="s">
        <v>68</v>
      </c>
      <c r="B18" s="74" t="s">
        <v>293</v>
      </c>
      <c r="C18" s="5">
        <v>22</v>
      </c>
      <c r="D18" s="5">
        <v>13</v>
      </c>
      <c r="E18" s="86">
        <v>0.77272730000000001</v>
      </c>
      <c r="F18" s="86">
        <v>0.95454539999999999</v>
      </c>
      <c r="G18" s="86">
        <v>0.77272730000000001</v>
      </c>
      <c r="H18" s="86">
        <v>0.72727269999999999</v>
      </c>
      <c r="I18" s="51">
        <f t="shared" si="1"/>
        <v>9</v>
      </c>
      <c r="J18" s="86">
        <v>0.59090909090909094</v>
      </c>
      <c r="K18" s="86">
        <v>0.40909090909090912</v>
      </c>
      <c r="L18" s="5" t="s">
        <v>189</v>
      </c>
      <c r="M18" s="5" t="s">
        <v>212</v>
      </c>
      <c r="N18" s="50">
        <v>0</v>
      </c>
      <c r="O18" t="str">
        <f t="shared" si="2"/>
        <v>RP5</v>
      </c>
      <c r="P18" s="22">
        <f t="shared" si="3"/>
        <v>1</v>
      </c>
      <c r="Q18" s="22">
        <f t="shared" si="4"/>
        <v>1</v>
      </c>
      <c r="R18" s="22">
        <f t="shared" si="5"/>
        <v>1</v>
      </c>
      <c r="S18" s="22">
        <f t="shared" si="6"/>
        <v>1</v>
      </c>
      <c r="T18" s="40" t="e">
        <f>IF(#REF!=4, RANK(H18,H$8:H$81,1)+COUNTIF($H$8:H18,H18)-1, IF(#REF!=3, RANK(G18,G$8:G$81,1)+COUNTIF($G$8:G18,G18)-1, IF(#REF!=2, RANK(F18,F$8:F$81,1)+COUNTIF($F$8:F18,F18)-1, IF(#REF!=1, RANK(E18,E$8:E$81,1)+COUNTIF($E$8:E18,E18)-1))))</f>
        <v>#REF!</v>
      </c>
      <c r="U18" s="28" t="e">
        <f>IF(#REF!=4, H18, IF(#REF!=3, G18, IF(#REF!=2, F18, IF(#REF!=1, E18))))</f>
        <v>#REF!</v>
      </c>
      <c r="V18">
        <f t="shared" si="7"/>
        <v>34</v>
      </c>
      <c r="W18" s="9">
        <f t="shared" si="8"/>
        <v>59.090909090909093</v>
      </c>
      <c r="X18">
        <v>36.354700000000001</v>
      </c>
      <c r="Y18">
        <v>79.290689999999998</v>
      </c>
      <c r="Z18">
        <f t="shared" si="9"/>
        <v>22.736209090909092</v>
      </c>
      <c r="AA18">
        <f t="shared" si="10"/>
        <v>42.935989999999997</v>
      </c>
      <c r="AB18" t="s">
        <v>512</v>
      </c>
      <c r="AC18">
        <v>134</v>
      </c>
      <c r="AD18">
        <v>100</v>
      </c>
      <c r="AE18">
        <v>204</v>
      </c>
      <c r="AF18">
        <f t="shared" si="11"/>
        <v>34</v>
      </c>
      <c r="AG18">
        <f t="shared" si="12"/>
        <v>70</v>
      </c>
      <c r="AH18" s="48">
        <v>0.24</v>
      </c>
      <c r="AI18">
        <v>23.529410000000002</v>
      </c>
      <c r="AJ18">
        <v>6.8107699999999998</v>
      </c>
      <c r="AK18">
        <v>49.899329999999999</v>
      </c>
      <c r="AL18">
        <f t="shared" si="13"/>
        <v>16.718640000000001</v>
      </c>
      <c r="AM18">
        <f t="shared" si="14"/>
        <v>26.369919999999997</v>
      </c>
      <c r="AN18">
        <v>53</v>
      </c>
    </row>
    <row r="19" spans="1:40" x14ac:dyDescent="0.25">
      <c r="A19" s="5" t="s">
        <v>103</v>
      </c>
      <c r="B19" s="74" t="s">
        <v>104</v>
      </c>
      <c r="C19" s="5">
        <v>15</v>
      </c>
      <c r="D19" s="5">
        <v>12</v>
      </c>
      <c r="E19" s="86">
        <v>0.93333330000000003</v>
      </c>
      <c r="F19" s="86">
        <v>1</v>
      </c>
      <c r="G19" s="86">
        <v>0.91666669999999995</v>
      </c>
      <c r="H19" s="86">
        <v>0.8</v>
      </c>
      <c r="I19" s="51">
        <f t="shared" si="1"/>
        <v>3</v>
      </c>
      <c r="J19" s="86">
        <v>0.8</v>
      </c>
      <c r="K19" s="86">
        <v>0.2</v>
      </c>
      <c r="L19" s="5" t="s">
        <v>168</v>
      </c>
      <c r="M19" s="5" t="s">
        <v>376</v>
      </c>
      <c r="N19" s="50">
        <v>0</v>
      </c>
      <c r="O19" t="str">
        <f t="shared" si="2"/>
        <v>RWH</v>
      </c>
      <c r="P19" s="22">
        <f t="shared" si="3"/>
        <v>2</v>
      </c>
      <c r="Q19" s="22">
        <f t="shared" si="4"/>
        <v>4</v>
      </c>
      <c r="R19" s="22">
        <f t="shared" si="5"/>
        <v>2</v>
      </c>
      <c r="S19" s="22">
        <f t="shared" si="6"/>
        <v>2</v>
      </c>
      <c r="T19" s="40" t="e">
        <f>IF(#REF!=4, RANK(H19,H$8:H$81,1)+COUNTIF($H$8:H19,H19)-1, IF(#REF!=3, RANK(G19,G$8:G$81,1)+COUNTIF($G$8:G19,G19)-1, IF(#REF!=2, RANK(F19,F$8:F$81,1)+COUNTIF($F$8:F19,F19)-1, IF(#REF!=1, RANK(E19,E$8:E$81,1)+COUNTIF($E$8:E19,E19)-1))))</f>
        <v>#REF!</v>
      </c>
      <c r="U19" s="28" t="e">
        <f>IF(#REF!=4, H19, IF(#REF!=3, G19, IF(#REF!=2, F19, IF(#REF!=1, E19))))</f>
        <v>#REF!</v>
      </c>
      <c r="V19">
        <f t="shared" si="7"/>
        <v>12</v>
      </c>
      <c r="W19" s="9">
        <f t="shared" si="8"/>
        <v>80</v>
      </c>
      <c r="X19">
        <v>51.910889999999995</v>
      </c>
      <c r="Y19">
        <v>95.668800000000005</v>
      </c>
      <c r="Z19">
        <f t="shared" si="9"/>
        <v>28.089110000000005</v>
      </c>
      <c r="AA19">
        <f t="shared" si="10"/>
        <v>43.75791000000001</v>
      </c>
      <c r="AB19" t="s">
        <v>513</v>
      </c>
      <c r="AC19">
        <v>88</v>
      </c>
      <c r="AD19">
        <v>42</v>
      </c>
      <c r="AE19">
        <v>134</v>
      </c>
      <c r="AF19">
        <f t="shared" si="11"/>
        <v>46</v>
      </c>
      <c r="AG19">
        <f t="shared" si="12"/>
        <v>46</v>
      </c>
      <c r="AH19" s="48">
        <v>0.28999999999999998</v>
      </c>
      <c r="AI19">
        <v>28.571429999999999</v>
      </c>
      <c r="AJ19">
        <v>8.3889300000000002</v>
      </c>
      <c r="AK19">
        <v>58.103530000000006</v>
      </c>
      <c r="AL19">
        <f t="shared" si="13"/>
        <v>20.182499999999997</v>
      </c>
      <c r="AM19">
        <f t="shared" si="14"/>
        <v>29.532100000000007</v>
      </c>
      <c r="AN19">
        <v>32</v>
      </c>
    </row>
    <row r="20" spans="1:40" x14ac:dyDescent="0.25">
      <c r="A20" s="5" t="s">
        <v>94</v>
      </c>
      <c r="B20" s="74" t="s">
        <v>95</v>
      </c>
      <c r="C20" s="5">
        <v>44</v>
      </c>
      <c r="D20" s="5">
        <v>34</v>
      </c>
      <c r="E20" s="86">
        <v>0.88636360000000003</v>
      </c>
      <c r="F20" s="86">
        <v>0.97727269999999999</v>
      </c>
      <c r="G20" s="86">
        <v>0.9</v>
      </c>
      <c r="H20" s="86">
        <v>0.90909090000000004</v>
      </c>
      <c r="I20" s="51">
        <f t="shared" si="1"/>
        <v>10</v>
      </c>
      <c r="J20" s="86">
        <v>0.77272727272727271</v>
      </c>
      <c r="K20" s="86">
        <v>0.22727272727272727</v>
      </c>
      <c r="L20" s="5" t="s">
        <v>189</v>
      </c>
      <c r="M20" s="5" t="s">
        <v>178</v>
      </c>
      <c r="N20" s="50">
        <v>0</v>
      </c>
      <c r="O20" t="str">
        <f t="shared" si="2"/>
        <v>RVV</v>
      </c>
      <c r="P20" s="22">
        <f t="shared" si="3"/>
        <v>2</v>
      </c>
      <c r="Q20" s="22">
        <f t="shared" si="4"/>
        <v>2</v>
      </c>
      <c r="R20" s="22">
        <f t="shared" si="5"/>
        <v>2</v>
      </c>
      <c r="S20" s="22">
        <f t="shared" si="6"/>
        <v>2</v>
      </c>
      <c r="T20" s="40" t="e">
        <f>IF(#REF!=4, RANK(H20,H$8:H$81,1)+COUNTIF($H$8:H20,H20)-1, IF(#REF!=3, RANK(G20,G$8:G$81,1)+COUNTIF($G$8:G20,G20)-1, IF(#REF!=2, RANK(F20,F$8:F$81,1)+COUNTIF($F$8:F20,F20)-1, IF(#REF!=1, RANK(E20,E$8:E$81,1)+COUNTIF($E$8:E20,E20)-1))))</f>
        <v>#REF!</v>
      </c>
      <c r="U20" s="28" t="e">
        <f>IF(#REF!=4, H20, IF(#REF!=3, G20, IF(#REF!=2, F20, IF(#REF!=1, E20))))</f>
        <v>#REF!</v>
      </c>
      <c r="V20">
        <f t="shared" si="7"/>
        <v>16</v>
      </c>
      <c r="W20" s="9">
        <f t="shared" si="8"/>
        <v>77.272727272727266</v>
      </c>
      <c r="X20">
        <v>62.155709999999999</v>
      </c>
      <c r="Y20">
        <v>88.526649999999989</v>
      </c>
      <c r="Z20">
        <f t="shared" si="9"/>
        <v>15.117017272727267</v>
      </c>
      <c r="AA20">
        <f t="shared" si="10"/>
        <v>26.37093999999999</v>
      </c>
      <c r="AB20" t="s">
        <v>514</v>
      </c>
      <c r="AC20">
        <v>101</v>
      </c>
      <c r="AD20">
        <v>49</v>
      </c>
      <c r="AE20">
        <v>179</v>
      </c>
      <c r="AF20">
        <f t="shared" si="11"/>
        <v>52</v>
      </c>
      <c r="AG20">
        <f t="shared" si="12"/>
        <v>78</v>
      </c>
      <c r="AH20" s="48">
        <v>0.26</v>
      </c>
      <c r="AI20">
        <v>25.641029999999997</v>
      </c>
      <c r="AJ20">
        <v>13.037679999999998</v>
      </c>
      <c r="AK20">
        <v>42.127389999999998</v>
      </c>
      <c r="AL20">
        <f t="shared" si="13"/>
        <v>12.603349999999999</v>
      </c>
      <c r="AM20">
        <f t="shared" si="14"/>
        <v>16.486360000000001</v>
      </c>
      <c r="AN20">
        <v>43</v>
      </c>
    </row>
    <row r="21" spans="1:40" x14ac:dyDescent="0.25">
      <c r="A21" s="5" t="s">
        <v>115</v>
      </c>
      <c r="B21" s="74" t="s">
        <v>116</v>
      </c>
      <c r="C21" s="5">
        <v>26</v>
      </c>
      <c r="D21" s="5">
        <v>17</v>
      </c>
      <c r="E21" s="86">
        <v>0.96153840000000002</v>
      </c>
      <c r="F21" s="86">
        <v>1</v>
      </c>
      <c r="G21" s="86">
        <v>0.95833330000000005</v>
      </c>
      <c r="H21" s="86">
        <v>1</v>
      </c>
      <c r="I21" s="51">
        <f t="shared" si="1"/>
        <v>9</v>
      </c>
      <c r="J21" s="86">
        <v>0.65384615384615385</v>
      </c>
      <c r="K21" s="86">
        <v>0.34615384615384615</v>
      </c>
      <c r="L21" s="5" t="s">
        <v>198</v>
      </c>
      <c r="M21" s="5" t="s">
        <v>169</v>
      </c>
      <c r="N21" s="50">
        <v>3.9688439999999998</v>
      </c>
      <c r="O21" t="str">
        <f t="shared" si="2"/>
        <v>RXR</v>
      </c>
      <c r="P21" s="22">
        <f t="shared" si="3"/>
        <v>3</v>
      </c>
      <c r="Q21" s="22">
        <f t="shared" si="4"/>
        <v>4</v>
      </c>
      <c r="R21" s="22">
        <f t="shared" si="5"/>
        <v>3</v>
      </c>
      <c r="S21" s="22">
        <f t="shared" si="6"/>
        <v>4</v>
      </c>
      <c r="T21" s="40" t="e">
        <f>IF(#REF!=4, RANK(H21,H$8:H$81,1)+COUNTIF($H$8:H21,H21)-1, IF(#REF!=3, RANK(G21,G$8:G$81,1)+COUNTIF($G$8:G21,G21)-1, IF(#REF!=2, RANK(F21,F$8:F$81,1)+COUNTIF($F$8:F21,F21)-1, IF(#REF!=1, RANK(E21,E$8:E$81,1)+COUNTIF($E$8:E21,E21)-1))))</f>
        <v>#REF!</v>
      </c>
      <c r="U21" s="28" t="e">
        <f>IF(#REF!=4, H21, IF(#REF!=3, G21, IF(#REF!=2, F21, IF(#REF!=1, E21))))</f>
        <v>#REF!</v>
      </c>
      <c r="V21">
        <f t="shared" si="7"/>
        <v>24</v>
      </c>
      <c r="W21" s="9">
        <f t="shared" si="8"/>
        <v>65.384615384615387</v>
      </c>
      <c r="X21">
        <v>44.332810000000002</v>
      </c>
      <c r="Y21">
        <v>82.785589999999999</v>
      </c>
      <c r="Z21">
        <f t="shared" si="9"/>
        <v>21.051805384615385</v>
      </c>
      <c r="AA21">
        <f t="shared" si="10"/>
        <v>38.452779999999997</v>
      </c>
      <c r="AB21" t="s">
        <v>515</v>
      </c>
      <c r="AC21">
        <v>77</v>
      </c>
      <c r="AD21">
        <v>34</v>
      </c>
      <c r="AE21">
        <v>129</v>
      </c>
      <c r="AF21">
        <f t="shared" si="11"/>
        <v>43</v>
      </c>
      <c r="AG21">
        <f t="shared" si="12"/>
        <v>52</v>
      </c>
      <c r="AH21" s="48">
        <v>0.4</v>
      </c>
      <c r="AI21">
        <v>40</v>
      </c>
      <c r="AJ21">
        <v>21.12548</v>
      </c>
      <c r="AK21">
        <v>61.334650000000003</v>
      </c>
      <c r="AL21">
        <f t="shared" si="13"/>
        <v>18.87452</v>
      </c>
      <c r="AM21">
        <f t="shared" si="14"/>
        <v>21.334650000000003</v>
      </c>
      <c r="AN21">
        <v>22</v>
      </c>
    </row>
    <row r="22" spans="1:40" x14ac:dyDescent="0.25">
      <c r="A22" s="5" t="s">
        <v>24</v>
      </c>
      <c r="B22" s="74" t="s">
        <v>160</v>
      </c>
      <c r="C22" s="5">
        <v>44</v>
      </c>
      <c r="D22" s="5">
        <v>34</v>
      </c>
      <c r="E22" s="86">
        <v>0.95454539999999999</v>
      </c>
      <c r="F22" s="86">
        <v>1</v>
      </c>
      <c r="G22" s="86">
        <v>0.95348829999999996</v>
      </c>
      <c r="H22" s="86">
        <v>0.88636360000000003</v>
      </c>
      <c r="I22" s="51">
        <f t="shared" si="1"/>
        <v>10</v>
      </c>
      <c r="J22" s="86">
        <v>0.77272727272727271</v>
      </c>
      <c r="K22" s="86">
        <v>0.22727272727272727</v>
      </c>
      <c r="L22" s="5" t="s">
        <v>193</v>
      </c>
      <c r="M22" s="5" t="s">
        <v>209</v>
      </c>
      <c r="N22" s="50">
        <v>2.0550459999999999</v>
      </c>
      <c r="O22" t="str">
        <f t="shared" si="2"/>
        <v>RDE</v>
      </c>
      <c r="P22" s="22">
        <f t="shared" si="3"/>
        <v>3</v>
      </c>
      <c r="Q22" s="22">
        <f t="shared" si="4"/>
        <v>4</v>
      </c>
      <c r="R22" s="22">
        <f t="shared" si="5"/>
        <v>3</v>
      </c>
      <c r="S22" s="22">
        <f t="shared" si="6"/>
        <v>2</v>
      </c>
      <c r="T22" s="40" t="e">
        <f>IF(#REF!=4, RANK(H22,H$8:H$81,1)+COUNTIF($H$8:H22,H22)-1, IF(#REF!=3, RANK(G22,G$8:G$81,1)+COUNTIF($G$8:G22,G22)-1, IF(#REF!=2, RANK(F22,F$8:F$81,1)+COUNTIF($F$8:F22,F22)-1, IF(#REF!=1, RANK(E22,E$8:E$81,1)+COUNTIF($E$8:E22,E22)-1))))</f>
        <v>#REF!</v>
      </c>
      <c r="U22" s="28" t="e">
        <f>IF(#REF!=4, H22, IF(#REF!=3, G22, IF(#REF!=2, F22, IF(#REF!=1, E22))))</f>
        <v>#REF!</v>
      </c>
      <c r="V22">
        <f t="shared" si="7"/>
        <v>16</v>
      </c>
      <c r="W22" s="9">
        <f t="shared" si="8"/>
        <v>77.272727272727266</v>
      </c>
      <c r="X22">
        <v>62.155709999999999</v>
      </c>
      <c r="Y22">
        <v>88.526649999999989</v>
      </c>
      <c r="Z22">
        <f t="shared" si="9"/>
        <v>15.117017272727267</v>
      </c>
      <c r="AA22">
        <f t="shared" si="10"/>
        <v>26.37093999999999</v>
      </c>
      <c r="AB22" t="s">
        <v>516</v>
      </c>
      <c r="AC22">
        <v>135</v>
      </c>
      <c r="AD22">
        <v>41</v>
      </c>
      <c r="AE22">
        <v>229</v>
      </c>
      <c r="AF22">
        <f t="shared" si="11"/>
        <v>94</v>
      </c>
      <c r="AG22">
        <f t="shared" si="12"/>
        <v>94</v>
      </c>
      <c r="AH22" s="48">
        <v>0.33</v>
      </c>
      <c r="AI22">
        <v>33.333329999999997</v>
      </c>
      <c r="AJ22">
        <v>19.566800000000001</v>
      </c>
      <c r="AK22">
        <v>49.548750000000005</v>
      </c>
      <c r="AL22">
        <f t="shared" si="13"/>
        <v>13.766529999999996</v>
      </c>
      <c r="AM22">
        <f t="shared" si="14"/>
        <v>16.215420000000009</v>
      </c>
      <c r="AN22">
        <v>54</v>
      </c>
    </row>
    <row r="23" spans="1:40" x14ac:dyDescent="0.25">
      <c r="A23" s="5" t="s">
        <v>25</v>
      </c>
      <c r="B23" s="74" t="s">
        <v>26</v>
      </c>
      <c r="C23" s="5">
        <v>22</v>
      </c>
      <c r="D23" s="5">
        <v>9</v>
      </c>
      <c r="E23" s="86">
        <v>0.90909090000000004</v>
      </c>
      <c r="F23" s="86">
        <v>0.95454539999999999</v>
      </c>
      <c r="G23" s="86">
        <v>0.90476190000000001</v>
      </c>
      <c r="H23" s="86">
        <v>0.81818179999999996</v>
      </c>
      <c r="I23" s="51">
        <f t="shared" si="1"/>
        <v>13</v>
      </c>
      <c r="J23" s="86">
        <v>0.40909090909090912</v>
      </c>
      <c r="K23" s="86">
        <v>0.59090909090909094</v>
      </c>
      <c r="L23" s="5" t="s">
        <v>183</v>
      </c>
      <c r="M23" s="5" t="s">
        <v>169</v>
      </c>
      <c r="N23" s="50">
        <v>1.8402559999999999</v>
      </c>
      <c r="O23" t="str">
        <f t="shared" si="2"/>
        <v>RDU</v>
      </c>
      <c r="P23" s="22">
        <f t="shared" si="3"/>
        <v>2</v>
      </c>
      <c r="Q23" s="22">
        <f t="shared" si="4"/>
        <v>1</v>
      </c>
      <c r="R23" s="22">
        <f t="shared" si="5"/>
        <v>2</v>
      </c>
      <c r="S23" s="22">
        <f t="shared" si="6"/>
        <v>2</v>
      </c>
      <c r="T23" s="40" t="e">
        <f>IF(#REF!=4, RANK(H23,H$8:H$81,1)+COUNTIF($H$8:H23,H23)-1, IF(#REF!=3, RANK(G23,G$8:G$81,1)+COUNTIF($G$8:G23,G23)-1, IF(#REF!=2, RANK(F23,F$8:F$81,1)+COUNTIF($F$8:F23,F23)-1, IF(#REF!=1, RANK(E23,E$8:E$81,1)+COUNTIF($E$8:E23,E23)-1))))</f>
        <v>#REF!</v>
      </c>
      <c r="U23" s="28" t="e">
        <f>IF(#REF!=4, H23, IF(#REF!=3, G23, IF(#REF!=2, F23, IF(#REF!=1, E23))))</f>
        <v>#REF!</v>
      </c>
      <c r="V23">
        <f t="shared" si="7"/>
        <v>54</v>
      </c>
      <c r="W23" s="9">
        <f t="shared" si="8"/>
        <v>40.909090909090914</v>
      </c>
      <c r="X23">
        <v>20.709309999999999</v>
      </c>
      <c r="Y23">
        <v>63.645300000000006</v>
      </c>
      <c r="Z23">
        <f t="shared" si="9"/>
        <v>20.199780909090915</v>
      </c>
      <c r="AA23">
        <f t="shared" si="10"/>
        <v>42.935990000000004</v>
      </c>
      <c r="AB23" t="s">
        <v>517</v>
      </c>
      <c r="AC23">
        <v>35</v>
      </c>
      <c r="AD23">
        <v>16</v>
      </c>
      <c r="AE23">
        <v>69</v>
      </c>
      <c r="AF23">
        <f t="shared" si="11"/>
        <v>19</v>
      </c>
      <c r="AG23">
        <f t="shared" si="12"/>
        <v>34</v>
      </c>
      <c r="AH23" s="48">
        <v>0.65</v>
      </c>
      <c r="AI23">
        <v>65</v>
      </c>
      <c r="AJ23">
        <v>40.781149999999997</v>
      </c>
      <c r="AK23">
        <v>84.609080000000006</v>
      </c>
      <c r="AL23">
        <f t="shared" si="13"/>
        <v>24.218850000000003</v>
      </c>
      <c r="AM23">
        <f t="shared" si="14"/>
        <v>19.609080000000006</v>
      </c>
      <c r="AN23">
        <v>1</v>
      </c>
    </row>
    <row r="24" spans="1:40" x14ac:dyDescent="0.25">
      <c r="A24" s="5" t="s">
        <v>85</v>
      </c>
      <c r="B24" s="74" t="s">
        <v>86</v>
      </c>
      <c r="C24" s="5">
        <v>64</v>
      </c>
      <c r="D24" s="5">
        <v>20</v>
      </c>
      <c r="E24" s="86">
        <v>0.859375</v>
      </c>
      <c r="F24" s="86">
        <v>0.96875</v>
      </c>
      <c r="G24" s="86">
        <v>0.92727269999999995</v>
      </c>
      <c r="H24" s="86">
        <v>0.609375</v>
      </c>
      <c r="I24" s="51">
        <f t="shared" si="1"/>
        <v>44</v>
      </c>
      <c r="J24" s="86">
        <v>0.3125</v>
      </c>
      <c r="K24" s="86">
        <v>0.6875</v>
      </c>
      <c r="L24" s="5" t="s">
        <v>412</v>
      </c>
      <c r="M24" s="5" t="s">
        <v>441</v>
      </c>
      <c r="N24" s="50">
        <v>1.8674489999999999</v>
      </c>
      <c r="O24" t="str">
        <f t="shared" si="2"/>
        <v>RTE</v>
      </c>
      <c r="P24" s="22">
        <f t="shared" si="3"/>
        <v>2</v>
      </c>
      <c r="Q24" s="22">
        <f t="shared" si="4"/>
        <v>1</v>
      </c>
      <c r="R24" s="22">
        <f t="shared" si="5"/>
        <v>2</v>
      </c>
      <c r="S24" s="22">
        <f t="shared" si="6"/>
        <v>1</v>
      </c>
      <c r="T24" s="40" t="e">
        <f>IF(#REF!=4, RANK(H24,H$8:H$81,1)+COUNTIF($H$8:H24,H24)-1, IF(#REF!=3, RANK(G24,G$8:G$81,1)+COUNTIF($G$8:G24,G24)-1, IF(#REF!=2, RANK(F24,F$8:F$81,1)+COUNTIF($F$8:F24,F24)-1, IF(#REF!=1, RANK(E24,E$8:E$81,1)+COUNTIF($E$8:E24,E24)-1))))</f>
        <v>#REF!</v>
      </c>
      <c r="U24" s="28" t="e">
        <f>IF(#REF!=4, H24, IF(#REF!=3, G24, IF(#REF!=2, F24, IF(#REF!=1, E24))))</f>
        <v>#REF!</v>
      </c>
      <c r="V24">
        <f t="shared" si="7"/>
        <v>64</v>
      </c>
      <c r="W24" s="9">
        <f t="shared" si="8"/>
        <v>31.25</v>
      </c>
      <c r="X24">
        <v>20.242149999999999</v>
      </c>
      <c r="Y24">
        <v>44.059440000000002</v>
      </c>
      <c r="Z24">
        <f t="shared" si="9"/>
        <v>11.007850000000001</v>
      </c>
      <c r="AA24">
        <f t="shared" si="10"/>
        <v>23.817290000000003</v>
      </c>
      <c r="AB24" t="s">
        <v>518</v>
      </c>
      <c r="AC24">
        <v>74</v>
      </c>
      <c r="AD24">
        <v>29</v>
      </c>
      <c r="AE24">
        <v>148</v>
      </c>
      <c r="AF24">
        <f t="shared" si="11"/>
        <v>45</v>
      </c>
      <c r="AG24">
        <f t="shared" si="12"/>
        <v>74</v>
      </c>
      <c r="AH24" s="48">
        <v>0.33</v>
      </c>
      <c r="AI24">
        <v>32.727270000000004</v>
      </c>
      <c r="AJ24">
        <v>20.680810000000001</v>
      </c>
      <c r="AK24">
        <v>46.70711</v>
      </c>
      <c r="AL24">
        <f t="shared" si="13"/>
        <v>12.046460000000003</v>
      </c>
      <c r="AM24">
        <f t="shared" si="14"/>
        <v>13.979839999999996</v>
      </c>
      <c r="AN24">
        <v>19</v>
      </c>
    </row>
    <row r="25" spans="1:40" x14ac:dyDescent="0.25">
      <c r="A25" s="5" t="s">
        <v>45</v>
      </c>
      <c r="B25" s="74" t="s">
        <v>46</v>
      </c>
      <c r="C25" s="5">
        <v>53</v>
      </c>
      <c r="D25" s="5">
        <v>28</v>
      </c>
      <c r="E25" s="86">
        <v>0.84905660000000005</v>
      </c>
      <c r="F25" s="86">
        <v>0.98113209999999995</v>
      </c>
      <c r="G25" s="86">
        <v>0.875</v>
      </c>
      <c r="H25" s="86">
        <v>0.52830189999999999</v>
      </c>
      <c r="I25" s="51">
        <f t="shared" si="1"/>
        <v>25</v>
      </c>
      <c r="J25" s="86">
        <v>0.52830188679245282</v>
      </c>
      <c r="K25" s="86">
        <v>0.47169811320754718</v>
      </c>
      <c r="L25" s="5" t="s">
        <v>168</v>
      </c>
      <c r="M25" s="5" t="s">
        <v>375</v>
      </c>
      <c r="N25" s="50">
        <v>0.48343849999999999</v>
      </c>
      <c r="O25" t="str">
        <f t="shared" si="2"/>
        <v>RJ1</v>
      </c>
      <c r="P25" s="22">
        <f t="shared" si="3"/>
        <v>2</v>
      </c>
      <c r="Q25" s="22">
        <f t="shared" si="4"/>
        <v>2</v>
      </c>
      <c r="R25" s="22">
        <f t="shared" si="5"/>
        <v>2</v>
      </c>
      <c r="S25" s="22">
        <f t="shared" si="6"/>
        <v>1</v>
      </c>
      <c r="T25" s="40" t="e">
        <f>IF(#REF!=4, RANK(H25,H$8:H$81,1)+COUNTIF($H$8:H25,H25)-1, IF(#REF!=3, RANK(G25,G$8:G$81,1)+COUNTIF($G$8:G25,G25)-1, IF(#REF!=2, RANK(F25,F$8:F$81,1)+COUNTIF($F$8:F25,F25)-1, IF(#REF!=1, RANK(E25,E$8:E$81,1)+COUNTIF($E$8:E25,E25)-1))))</f>
        <v>#REF!</v>
      </c>
      <c r="U25" s="28" t="e">
        <f>IF(#REF!=4, H25, IF(#REF!=3, G25, IF(#REF!=2, F25, IF(#REF!=1, E25))))</f>
        <v>#REF!</v>
      </c>
      <c r="V25">
        <f t="shared" si="7"/>
        <v>43</v>
      </c>
      <c r="W25" s="9">
        <f t="shared" si="8"/>
        <v>52.830188679245282</v>
      </c>
      <c r="X25">
        <v>38.63552</v>
      </c>
      <c r="Y25">
        <v>66.69753</v>
      </c>
      <c r="Z25">
        <f t="shared" si="9"/>
        <v>14.194668679245282</v>
      </c>
      <c r="AA25">
        <f t="shared" si="10"/>
        <v>28.062010000000001</v>
      </c>
      <c r="AB25" t="s">
        <v>519</v>
      </c>
      <c r="AC25">
        <v>114</v>
      </c>
      <c r="AD25">
        <v>57</v>
      </c>
      <c r="AE25">
        <v>188</v>
      </c>
      <c r="AF25">
        <f t="shared" si="11"/>
        <v>57</v>
      </c>
      <c r="AG25">
        <f t="shared" si="12"/>
        <v>74</v>
      </c>
      <c r="AH25" s="48">
        <v>0.24</v>
      </c>
      <c r="AI25">
        <v>24.44444</v>
      </c>
      <c r="AJ25">
        <v>12.882279999999998</v>
      </c>
      <c r="AK25">
        <v>39.537089999999999</v>
      </c>
      <c r="AL25">
        <f t="shared" si="13"/>
        <v>11.562160000000002</v>
      </c>
      <c r="AM25">
        <f t="shared" si="14"/>
        <v>15.092649999999999</v>
      </c>
      <c r="AN25">
        <v>46</v>
      </c>
    </row>
    <row r="26" spans="1:40" x14ac:dyDescent="0.25">
      <c r="A26" s="5" t="s">
        <v>96</v>
      </c>
      <c r="B26" s="74" t="s">
        <v>294</v>
      </c>
      <c r="C26" s="5">
        <v>38</v>
      </c>
      <c r="D26" s="5">
        <v>24</v>
      </c>
      <c r="E26" s="86">
        <v>0.9473684</v>
      </c>
      <c r="F26" s="86">
        <v>0</v>
      </c>
      <c r="G26" s="86">
        <v>0.9473684</v>
      </c>
      <c r="H26" s="86">
        <v>0.9473684</v>
      </c>
      <c r="I26" s="51">
        <f t="shared" si="1"/>
        <v>14</v>
      </c>
      <c r="J26" s="86">
        <v>0.63157894736842102</v>
      </c>
      <c r="K26" s="86">
        <v>0.36842105263157893</v>
      </c>
      <c r="L26" s="5" t="s">
        <v>409</v>
      </c>
      <c r="M26" s="5" t="s">
        <v>209</v>
      </c>
      <c r="N26" s="50">
        <v>0.89303169999999998</v>
      </c>
      <c r="O26" t="str">
        <f t="shared" si="2"/>
        <v>RWA</v>
      </c>
      <c r="P26" s="22">
        <f t="shared" si="3"/>
        <v>2</v>
      </c>
      <c r="Q26" s="22">
        <f t="shared" si="4"/>
        <v>1</v>
      </c>
      <c r="R26" s="22">
        <f t="shared" si="5"/>
        <v>2</v>
      </c>
      <c r="S26" s="22">
        <f t="shared" si="6"/>
        <v>3</v>
      </c>
      <c r="T26" s="40" t="e">
        <f>IF(#REF!=4, RANK(H26,H$8:H$81,1)+COUNTIF($H$8:H26,H26)-1, IF(#REF!=3, RANK(G26,G$8:G$81,1)+COUNTIF($G$8:G26,G26)-1, IF(#REF!=2, RANK(F26,F$8:F$81,1)+COUNTIF($F$8:F26,F26)-1, IF(#REF!=1, RANK(E26,E$8:E$81,1)+COUNTIF($E$8:E26,E26)-1))))</f>
        <v>#REF!</v>
      </c>
      <c r="U26" s="28" t="e">
        <f>IF(#REF!=4, H26, IF(#REF!=3, G26, IF(#REF!=2, F26, IF(#REF!=1, E26))))</f>
        <v>#REF!</v>
      </c>
      <c r="V26">
        <f t="shared" si="7"/>
        <v>27</v>
      </c>
      <c r="W26" s="9">
        <f t="shared" si="8"/>
        <v>63.157894736842103</v>
      </c>
      <c r="X26">
        <v>45.994279999999996</v>
      </c>
      <c r="Y26">
        <v>78.1875</v>
      </c>
      <c r="Z26">
        <f t="shared" si="9"/>
        <v>17.163614736842106</v>
      </c>
      <c r="AA26">
        <f t="shared" si="10"/>
        <v>32.193220000000004</v>
      </c>
      <c r="AB26" t="s">
        <v>520</v>
      </c>
      <c r="AC26">
        <v>149</v>
      </c>
      <c r="AD26">
        <v>74</v>
      </c>
      <c r="AE26">
        <v>212</v>
      </c>
      <c r="AF26">
        <f t="shared" si="11"/>
        <v>75</v>
      </c>
      <c r="AG26">
        <f t="shared" si="12"/>
        <v>63</v>
      </c>
      <c r="AH26" s="48">
        <v>0.11</v>
      </c>
      <c r="AI26">
        <v>11.11111</v>
      </c>
      <c r="AJ26">
        <v>3.1116100000000002</v>
      </c>
      <c r="AK26">
        <v>26.061089999999997</v>
      </c>
      <c r="AL26">
        <f t="shared" si="13"/>
        <v>7.9994999999999994</v>
      </c>
      <c r="AM26">
        <f t="shared" si="14"/>
        <v>14.949979999999996</v>
      </c>
      <c r="AN26">
        <v>57</v>
      </c>
    </row>
    <row r="27" spans="1:40" x14ac:dyDescent="0.25">
      <c r="A27" s="5" t="s">
        <v>119</v>
      </c>
      <c r="B27" s="74" t="s">
        <v>120</v>
      </c>
      <c r="C27" s="5">
        <v>46</v>
      </c>
      <c r="D27" s="5">
        <v>29</v>
      </c>
      <c r="E27" s="86">
        <v>0.71739129999999995</v>
      </c>
      <c r="F27" s="86">
        <v>0.97826089999999999</v>
      </c>
      <c r="G27" s="86">
        <v>0.81081080000000005</v>
      </c>
      <c r="H27" s="86">
        <v>0.93478260000000002</v>
      </c>
      <c r="I27" s="51">
        <f t="shared" si="1"/>
        <v>17</v>
      </c>
      <c r="J27" s="86">
        <v>0.63043478260869568</v>
      </c>
      <c r="K27" s="86">
        <v>0.36956521739130432</v>
      </c>
      <c r="L27" s="5" t="s">
        <v>172</v>
      </c>
      <c r="M27" s="5" t="s">
        <v>277</v>
      </c>
      <c r="N27" s="50">
        <v>0</v>
      </c>
      <c r="O27" t="str">
        <f t="shared" si="2"/>
        <v>RYJ</v>
      </c>
      <c r="P27" s="22">
        <f t="shared" si="3"/>
        <v>1</v>
      </c>
      <c r="Q27" s="22">
        <f t="shared" si="4"/>
        <v>2</v>
      </c>
      <c r="R27" s="22">
        <f t="shared" si="5"/>
        <v>1</v>
      </c>
      <c r="S27" s="22">
        <f t="shared" si="6"/>
        <v>3</v>
      </c>
      <c r="T27" s="40" t="e">
        <f>IF(#REF!=4, RANK(H27,H$8:H$81,1)+COUNTIF($H$8:H27,H27)-1, IF(#REF!=3, RANK(G27,G$8:G$81,1)+COUNTIF($G$8:G27,G27)-1, IF(#REF!=2, RANK(F27,F$8:F$81,1)+COUNTIF($F$8:F27,F27)-1, IF(#REF!=1, RANK(E27,E$8:E$81,1)+COUNTIF($E$8:E27,E27)-1))))</f>
        <v>#REF!</v>
      </c>
      <c r="U27" s="28" t="e">
        <f>IF(#REF!=4, H27, IF(#REF!=3, G27, IF(#REF!=2, F27, IF(#REF!=1, E27))))</f>
        <v>#REF!</v>
      </c>
      <c r="V27">
        <f t="shared" si="7"/>
        <v>28</v>
      </c>
      <c r="W27" s="9">
        <f t="shared" si="8"/>
        <v>63.04347826086957</v>
      </c>
      <c r="X27">
        <v>47.548449999999995</v>
      </c>
      <c r="Y27">
        <v>76.793430000000001</v>
      </c>
      <c r="Z27">
        <f t="shared" si="9"/>
        <v>15.495028260869574</v>
      </c>
      <c r="AA27">
        <f t="shared" si="10"/>
        <v>29.244980000000005</v>
      </c>
      <c r="AB27" t="s">
        <v>521</v>
      </c>
      <c r="AC27">
        <v>61</v>
      </c>
      <c r="AD27">
        <v>25</v>
      </c>
      <c r="AE27">
        <v>124</v>
      </c>
      <c r="AF27">
        <f t="shared" si="11"/>
        <v>36</v>
      </c>
      <c r="AG27">
        <f t="shared" si="12"/>
        <v>63</v>
      </c>
      <c r="AH27" s="48">
        <v>0.48</v>
      </c>
      <c r="AI27">
        <v>48.484850000000002</v>
      </c>
      <c r="AJ27">
        <v>30.796340000000001</v>
      </c>
      <c r="AK27">
        <v>66.455550000000002</v>
      </c>
      <c r="AL27">
        <f t="shared" si="13"/>
        <v>17.688510000000001</v>
      </c>
      <c r="AM27">
        <f t="shared" si="14"/>
        <v>17.970700000000001</v>
      </c>
      <c r="AN27">
        <v>7</v>
      </c>
    </row>
    <row r="28" spans="1:40" x14ac:dyDescent="0.25">
      <c r="A28" s="5" t="s">
        <v>53</v>
      </c>
      <c r="B28" s="74" t="s">
        <v>54</v>
      </c>
      <c r="C28" s="5">
        <v>1</v>
      </c>
      <c r="D28" s="5">
        <v>0</v>
      </c>
      <c r="E28" s="86">
        <v>0</v>
      </c>
      <c r="F28" s="86">
        <v>1</v>
      </c>
      <c r="G28" s="86"/>
      <c r="H28" s="86">
        <v>1</v>
      </c>
      <c r="I28" s="51">
        <f t="shared" si="1"/>
        <v>1</v>
      </c>
      <c r="J28" s="86">
        <v>0</v>
      </c>
      <c r="K28" s="86">
        <v>1</v>
      </c>
      <c r="L28" s="5" t="s">
        <v>411</v>
      </c>
      <c r="M28" s="5" t="s">
        <v>426</v>
      </c>
      <c r="N28" s="50">
        <v>0</v>
      </c>
      <c r="O28" t="str">
        <f t="shared" si="2"/>
        <v>RJZ</v>
      </c>
      <c r="P28" s="22">
        <f t="shared" si="3"/>
        <v>1</v>
      </c>
      <c r="Q28" s="22">
        <f t="shared" si="4"/>
        <v>4</v>
      </c>
      <c r="R28" s="22">
        <f t="shared" si="5"/>
        <v>1</v>
      </c>
      <c r="S28" s="22">
        <f t="shared" si="6"/>
        <v>4</v>
      </c>
      <c r="T28" s="40" t="e">
        <f>IF(#REF!=4, RANK(H28,H$8:H$81,1)+COUNTIF($H$8:H28,H28)-1, IF(#REF!=3, RANK(G28,G$8:G$81,1)+COUNTIF($G$8:G28,G28)-1, IF(#REF!=2, RANK(F28,F$8:F$81,1)+COUNTIF($F$8:F28,F28)-1, IF(#REF!=1, RANK(E28,E$8:E$81,1)+COUNTIF($E$8:E28,E28)-1))))</f>
        <v>#REF!</v>
      </c>
      <c r="U28" s="28" t="e">
        <f>IF(#REF!=4, H28, IF(#REF!=3, G28, IF(#REF!=2, F28, IF(#REF!=1, E28))))</f>
        <v>#REF!</v>
      </c>
      <c r="V28">
        <f t="shared" si="7"/>
        <v>69</v>
      </c>
      <c r="W28" s="9">
        <f t="shared" si="8"/>
        <v>0</v>
      </c>
      <c r="X28" t="e">
        <v>#N/A</v>
      </c>
      <c r="Y28" t="e">
        <v>#N/A</v>
      </c>
      <c r="Z28" t="e">
        <f t="shared" si="9"/>
        <v>#N/A</v>
      </c>
      <c r="AA28" t="e">
        <f t="shared" si="10"/>
        <v>#N/A</v>
      </c>
      <c r="AB28" t="e">
        <v>#N/A</v>
      </c>
      <c r="AC28" t="e">
        <v>#N/A</v>
      </c>
      <c r="AD28" t="e">
        <v>#N/A</v>
      </c>
      <c r="AE28" t="e">
        <v>#N/A</v>
      </c>
      <c r="AF28" t="e">
        <f t="shared" si="11"/>
        <v>#N/A</v>
      </c>
      <c r="AG28" t="e">
        <f t="shared" si="12"/>
        <v>#N/A</v>
      </c>
      <c r="AH28" t="e">
        <v>#N/A</v>
      </c>
      <c r="AI28" t="e">
        <v>#N/A</v>
      </c>
      <c r="AJ28" t="e">
        <v>#N/A</v>
      </c>
      <c r="AK28" t="e">
        <v>#N/A</v>
      </c>
      <c r="AL28" t="e">
        <f t="shared" si="13"/>
        <v>#N/A</v>
      </c>
      <c r="AM28" t="e">
        <f t="shared" si="14"/>
        <v>#N/A</v>
      </c>
      <c r="AN28" t="e">
        <v>#N/A</v>
      </c>
    </row>
    <row r="29" spans="1:40" x14ac:dyDescent="0.25">
      <c r="A29" s="5" t="s">
        <v>113</v>
      </c>
      <c r="B29" s="74" t="s">
        <v>114</v>
      </c>
      <c r="C29" s="5">
        <v>89</v>
      </c>
      <c r="D29" s="5">
        <v>64</v>
      </c>
      <c r="E29" s="86">
        <v>0.95505620000000002</v>
      </c>
      <c r="F29" s="86">
        <v>0.98876399999999998</v>
      </c>
      <c r="G29" s="86">
        <v>0.97619040000000001</v>
      </c>
      <c r="H29" s="86">
        <v>1</v>
      </c>
      <c r="I29" s="51">
        <f t="shared" si="1"/>
        <v>25</v>
      </c>
      <c r="J29" s="86">
        <v>0.7191011235955056</v>
      </c>
      <c r="K29" s="86">
        <v>0.2808988764044944</v>
      </c>
      <c r="L29" s="5" t="s">
        <v>187</v>
      </c>
      <c r="M29" s="5" t="s">
        <v>208</v>
      </c>
      <c r="N29" s="50">
        <v>1.2632669999999999</v>
      </c>
      <c r="O29" t="str">
        <f t="shared" si="2"/>
        <v>RXN</v>
      </c>
      <c r="P29" s="22">
        <f t="shared" si="3"/>
        <v>3</v>
      </c>
      <c r="Q29" s="22">
        <f t="shared" si="4"/>
        <v>2</v>
      </c>
      <c r="R29" s="22">
        <f t="shared" si="5"/>
        <v>3</v>
      </c>
      <c r="S29" s="22">
        <f t="shared" si="6"/>
        <v>4</v>
      </c>
      <c r="T29" s="40" t="e">
        <f>IF(#REF!=4, RANK(H29,H$8:H$81,1)+COUNTIF($H$8:H29,H29)-1, IF(#REF!=3, RANK(G29,G$8:G$81,1)+COUNTIF($G$8:G29,G29)-1, IF(#REF!=2, RANK(F29,F$8:F$81,1)+COUNTIF($F$8:F29,F29)-1, IF(#REF!=1, RANK(E29,E$8:E$81,1)+COUNTIF($E$8:E29,E29)-1))))</f>
        <v>#REF!</v>
      </c>
      <c r="U29" s="28" t="e">
        <f>IF(#REF!=4, H29, IF(#REF!=3, G29, IF(#REF!=2, F29, IF(#REF!=1, E29))))</f>
        <v>#REF!</v>
      </c>
      <c r="V29">
        <f t="shared" si="7"/>
        <v>21</v>
      </c>
      <c r="W29" s="9">
        <f t="shared" si="8"/>
        <v>71.910112359550567</v>
      </c>
      <c r="X29">
        <v>61.384450000000001</v>
      </c>
      <c r="Y29">
        <v>80.926569999999998</v>
      </c>
      <c r="Z29">
        <f t="shared" si="9"/>
        <v>10.525662359550566</v>
      </c>
      <c r="AA29">
        <f t="shared" si="10"/>
        <v>19.542119999999997</v>
      </c>
      <c r="AB29" t="s">
        <v>522</v>
      </c>
      <c r="AC29">
        <v>80</v>
      </c>
      <c r="AD29">
        <v>46</v>
      </c>
      <c r="AE29">
        <v>134</v>
      </c>
      <c r="AF29">
        <f t="shared" si="11"/>
        <v>34</v>
      </c>
      <c r="AG29">
        <f t="shared" si="12"/>
        <v>54</v>
      </c>
      <c r="AH29" s="48">
        <v>0.34</v>
      </c>
      <c r="AI29">
        <v>34.117649999999998</v>
      </c>
      <c r="AJ29">
        <v>24.175139999999999</v>
      </c>
      <c r="AK29">
        <v>45.202460000000002</v>
      </c>
      <c r="AL29">
        <f t="shared" si="13"/>
        <v>9.9425099999999986</v>
      </c>
      <c r="AM29">
        <f t="shared" si="14"/>
        <v>11.084810000000004</v>
      </c>
      <c r="AN29">
        <v>26</v>
      </c>
    </row>
    <row r="30" spans="1:40" x14ac:dyDescent="0.25">
      <c r="A30" s="5" t="s">
        <v>75</v>
      </c>
      <c r="B30" s="74" t="s">
        <v>76</v>
      </c>
      <c r="C30" s="5">
        <v>37</v>
      </c>
      <c r="D30" s="5">
        <v>20</v>
      </c>
      <c r="E30" s="86">
        <v>0.81081080000000005</v>
      </c>
      <c r="F30" s="86">
        <v>1</v>
      </c>
      <c r="G30" s="86">
        <v>0.83333330000000005</v>
      </c>
      <c r="H30" s="86">
        <v>0.81081080000000005</v>
      </c>
      <c r="I30" s="51">
        <f t="shared" si="1"/>
        <v>17</v>
      </c>
      <c r="J30" s="86">
        <v>0.54054054054054057</v>
      </c>
      <c r="K30" s="86">
        <v>0.45945945945945948</v>
      </c>
      <c r="L30" s="5" t="s">
        <v>436</v>
      </c>
      <c r="M30" s="5" t="s">
        <v>170</v>
      </c>
      <c r="N30" s="50">
        <v>0.95209410000000005</v>
      </c>
      <c r="O30" t="str">
        <f t="shared" si="2"/>
        <v>RR8</v>
      </c>
      <c r="P30" s="22">
        <f t="shared" si="3"/>
        <v>1</v>
      </c>
      <c r="Q30" s="22">
        <f t="shared" si="4"/>
        <v>4</v>
      </c>
      <c r="R30" s="22">
        <f t="shared" si="5"/>
        <v>1</v>
      </c>
      <c r="S30" s="22">
        <f t="shared" si="6"/>
        <v>2</v>
      </c>
      <c r="T30" s="40" t="e">
        <f>IF(#REF!=4, RANK(H30,H$8:H$81,1)+COUNTIF($H$8:H30,H30)-1, IF(#REF!=3, RANK(G30,G$8:G$81,1)+COUNTIF($G$8:G30,G30)-1, IF(#REF!=2, RANK(F30,F$8:F$81,1)+COUNTIF($F$8:F30,F30)-1, IF(#REF!=1, RANK(E30,E$8:E$81,1)+COUNTIF($E$8:E30,E30)-1))))</f>
        <v>#REF!</v>
      </c>
      <c r="U30" s="28" t="e">
        <f>IF(#REF!=4, H30, IF(#REF!=3, G30, IF(#REF!=2, F30, IF(#REF!=1, E30))))</f>
        <v>#REF!</v>
      </c>
      <c r="V30">
        <f t="shared" si="7"/>
        <v>42</v>
      </c>
      <c r="W30" s="9">
        <f t="shared" si="8"/>
        <v>54.054054054054056</v>
      </c>
      <c r="X30">
        <v>36.921959999999999</v>
      </c>
      <c r="Y30">
        <v>70.512690000000006</v>
      </c>
      <c r="Z30">
        <f t="shared" si="9"/>
        <v>17.132094054054058</v>
      </c>
      <c r="AA30">
        <f t="shared" si="10"/>
        <v>33.590730000000008</v>
      </c>
      <c r="AB30" t="s">
        <v>523</v>
      </c>
      <c r="AC30">
        <v>94</v>
      </c>
      <c r="AD30">
        <v>57</v>
      </c>
      <c r="AE30">
        <v>131</v>
      </c>
      <c r="AF30">
        <f t="shared" si="11"/>
        <v>37</v>
      </c>
      <c r="AG30">
        <f t="shared" si="12"/>
        <v>37</v>
      </c>
      <c r="AH30" s="48">
        <v>0.23</v>
      </c>
      <c r="AI30">
        <v>23.33333</v>
      </c>
      <c r="AJ30">
        <v>9.9337900000000001</v>
      </c>
      <c r="AK30">
        <v>42.283650000000002</v>
      </c>
      <c r="AL30">
        <f t="shared" si="13"/>
        <v>13.39954</v>
      </c>
      <c r="AM30">
        <f t="shared" si="14"/>
        <v>18.950320000000001</v>
      </c>
      <c r="AN30">
        <v>36</v>
      </c>
    </row>
    <row r="31" spans="1:40" x14ac:dyDescent="0.25">
      <c r="A31" s="5" t="s">
        <v>340</v>
      </c>
      <c r="B31" s="74" t="s">
        <v>341</v>
      </c>
      <c r="C31" s="5">
        <v>6</v>
      </c>
      <c r="D31" s="5">
        <v>1</v>
      </c>
      <c r="E31" s="86">
        <v>0.83333330000000005</v>
      </c>
      <c r="F31" s="86">
        <v>1</v>
      </c>
      <c r="G31" s="86">
        <v>0.8</v>
      </c>
      <c r="H31" s="86">
        <v>0.1666667</v>
      </c>
      <c r="I31" s="51">
        <f t="shared" si="1"/>
        <v>5</v>
      </c>
      <c r="J31" s="86">
        <v>0.16666666666666666</v>
      </c>
      <c r="K31" s="86">
        <v>0.83333333333333337</v>
      </c>
      <c r="L31" s="5" t="s">
        <v>416</v>
      </c>
      <c r="M31" s="5" t="s">
        <v>211</v>
      </c>
      <c r="N31" s="50">
        <v>0</v>
      </c>
      <c r="O31" t="str">
        <f t="shared" si="2"/>
        <v>RBQ</v>
      </c>
      <c r="P31" s="22">
        <f t="shared" si="3"/>
        <v>1</v>
      </c>
      <c r="Q31" s="22">
        <f t="shared" si="4"/>
        <v>4</v>
      </c>
      <c r="R31" s="22">
        <f t="shared" si="5"/>
        <v>1</v>
      </c>
      <c r="S31" s="22">
        <f t="shared" si="6"/>
        <v>1</v>
      </c>
      <c r="T31" s="40" t="e">
        <f>IF(#REF!=4, RANK(H31,H$8:H$81,1)+COUNTIF($H$8:H31,H31)-1, IF(#REF!=3, RANK(G31,G$8:G$81,1)+COUNTIF($G$8:G31,G31)-1, IF(#REF!=2, RANK(F31,F$8:F$81,1)+COUNTIF($F$8:F31,F31)-1, IF(#REF!=1, RANK(E31,E$8:E$81,1)+COUNTIF($E$8:E31,E31)-1))))</f>
        <v>#REF!</v>
      </c>
      <c r="U31" s="28" t="e">
        <f>IF(#REF!=4, H31, IF(#REF!=3, G31, IF(#REF!=2, F31, IF(#REF!=1, E31))))</f>
        <v>#REF!</v>
      </c>
      <c r="V31">
        <f t="shared" si="7"/>
        <v>67</v>
      </c>
      <c r="W31" s="9">
        <f t="shared" si="8"/>
        <v>16.666666666666664</v>
      </c>
      <c r="X31" t="e">
        <v>#N/A</v>
      </c>
      <c r="Y31" t="e">
        <v>#N/A</v>
      </c>
      <c r="Z31" t="e">
        <f t="shared" si="9"/>
        <v>#N/A</v>
      </c>
      <c r="AA31" t="e">
        <f t="shared" si="10"/>
        <v>#N/A</v>
      </c>
      <c r="AB31" t="e">
        <v>#N/A</v>
      </c>
      <c r="AC31" t="e">
        <v>#N/A</v>
      </c>
      <c r="AD31" t="e">
        <v>#N/A</v>
      </c>
      <c r="AE31" t="e">
        <v>#N/A</v>
      </c>
      <c r="AF31" t="e">
        <f t="shared" si="11"/>
        <v>#N/A</v>
      </c>
      <c r="AG31" t="e">
        <f t="shared" si="12"/>
        <v>#N/A</v>
      </c>
      <c r="AH31" t="e">
        <v>#N/A</v>
      </c>
      <c r="AI31" t="e">
        <v>#N/A</v>
      </c>
      <c r="AJ31" t="e">
        <v>#N/A</v>
      </c>
      <c r="AK31" t="e">
        <v>#N/A</v>
      </c>
      <c r="AL31" t="e">
        <f t="shared" si="13"/>
        <v>#N/A</v>
      </c>
      <c r="AM31" t="e">
        <f t="shared" si="14"/>
        <v>#N/A</v>
      </c>
      <c r="AN31" t="e">
        <v>#N/A</v>
      </c>
    </row>
    <row r="32" spans="1:40" x14ac:dyDescent="0.25">
      <c r="A32" s="5" t="s">
        <v>29</v>
      </c>
      <c r="B32" s="74" t="s">
        <v>295</v>
      </c>
      <c r="C32" s="5">
        <v>60</v>
      </c>
      <c r="D32" s="5">
        <v>37</v>
      </c>
      <c r="E32" s="86">
        <v>0.95</v>
      </c>
      <c r="F32" s="86">
        <v>0.98333329999999997</v>
      </c>
      <c r="G32" s="86">
        <v>0.96428570000000002</v>
      </c>
      <c r="H32" s="86">
        <v>0.83333330000000005</v>
      </c>
      <c r="I32" s="51">
        <f t="shared" si="1"/>
        <v>23</v>
      </c>
      <c r="J32" s="86">
        <v>0.6166666666666667</v>
      </c>
      <c r="K32" s="86">
        <v>0.38333333333333336</v>
      </c>
      <c r="L32" s="5" t="s">
        <v>171</v>
      </c>
      <c r="M32" s="5" t="s">
        <v>204</v>
      </c>
      <c r="N32" s="50">
        <v>1.1079289999999999</v>
      </c>
      <c r="O32" t="str">
        <f t="shared" si="2"/>
        <v>REM</v>
      </c>
      <c r="P32" s="22">
        <f t="shared" si="3"/>
        <v>3</v>
      </c>
      <c r="Q32" s="22">
        <f t="shared" si="4"/>
        <v>2</v>
      </c>
      <c r="R32" s="22">
        <f t="shared" si="5"/>
        <v>3</v>
      </c>
      <c r="S32" s="22">
        <f t="shared" si="6"/>
        <v>2</v>
      </c>
      <c r="T32" s="40" t="e">
        <f>IF(#REF!=4, RANK(H32,H$8:H$81,1)+COUNTIF($H$8:H32,H32)-1, IF(#REF!=3, RANK(G32,G$8:G$81,1)+COUNTIF($G$8:G32,G32)-1, IF(#REF!=2, RANK(F32,F$8:F$81,1)+COUNTIF($F$8:F32,F32)-1, IF(#REF!=1, RANK(E32,E$8:E$81,1)+COUNTIF($E$8:E32,E32)-1))))</f>
        <v>#REF!</v>
      </c>
      <c r="U32" s="28" t="e">
        <f>IF(#REF!=4, H32, IF(#REF!=3, G32, IF(#REF!=2, F32, IF(#REF!=1, E32))))</f>
        <v>#REF!</v>
      </c>
      <c r="V32">
        <f t="shared" si="7"/>
        <v>30</v>
      </c>
      <c r="W32" s="9">
        <f t="shared" si="8"/>
        <v>61.666666666666671</v>
      </c>
      <c r="X32">
        <v>48.211489999999998</v>
      </c>
      <c r="Y32">
        <v>73.929290000000009</v>
      </c>
      <c r="Z32">
        <f t="shared" si="9"/>
        <v>13.455176666666674</v>
      </c>
      <c r="AA32">
        <f t="shared" si="10"/>
        <v>25.717800000000011</v>
      </c>
      <c r="AB32" t="s">
        <v>524</v>
      </c>
      <c r="AC32">
        <v>159</v>
      </c>
      <c r="AD32">
        <v>91</v>
      </c>
      <c r="AE32">
        <v>270</v>
      </c>
      <c r="AF32">
        <f t="shared" si="11"/>
        <v>68</v>
      </c>
      <c r="AG32">
        <f t="shared" si="12"/>
        <v>111</v>
      </c>
      <c r="AH32" s="48">
        <v>0.18</v>
      </c>
      <c r="AI32">
        <v>17.543859999999999</v>
      </c>
      <c r="AJ32">
        <v>8.7473200000000002</v>
      </c>
      <c r="AK32">
        <v>29.905769999999997</v>
      </c>
      <c r="AL32">
        <f t="shared" si="13"/>
        <v>8.7965399999999985</v>
      </c>
      <c r="AM32">
        <f t="shared" si="14"/>
        <v>12.361909999999998</v>
      </c>
      <c r="AN32">
        <v>59</v>
      </c>
    </row>
    <row r="33" spans="1:40" x14ac:dyDescent="0.25">
      <c r="A33" s="5" t="s">
        <v>12</v>
      </c>
      <c r="B33" s="74" t="s">
        <v>296</v>
      </c>
      <c r="C33" s="5">
        <v>3</v>
      </c>
      <c r="D33" s="5">
        <v>3</v>
      </c>
      <c r="E33" s="86">
        <v>1</v>
      </c>
      <c r="F33" s="86">
        <v>1</v>
      </c>
      <c r="G33" s="86">
        <v>1</v>
      </c>
      <c r="H33" s="86">
        <v>1</v>
      </c>
      <c r="I33" s="51">
        <f t="shared" si="1"/>
        <v>0</v>
      </c>
      <c r="J33" s="86">
        <v>1</v>
      </c>
      <c r="K33" s="86">
        <v>0</v>
      </c>
      <c r="L33" s="5" t="s">
        <v>176</v>
      </c>
      <c r="M33" s="5" t="s">
        <v>411</v>
      </c>
      <c r="N33" s="50">
        <v>0</v>
      </c>
      <c r="O33" t="str">
        <f t="shared" si="2"/>
        <v>R1K</v>
      </c>
      <c r="P33" s="22">
        <f t="shared" si="3"/>
        <v>4</v>
      </c>
      <c r="Q33" s="22">
        <f t="shared" si="4"/>
        <v>4</v>
      </c>
      <c r="R33" s="22">
        <f t="shared" si="5"/>
        <v>4</v>
      </c>
      <c r="S33" s="22">
        <f t="shared" si="6"/>
        <v>4</v>
      </c>
      <c r="T33" s="40" t="e">
        <f>IF(#REF!=4, RANK(H33,H$8:H$81,1)+COUNTIF($H$8:H33,H33)-1, IF(#REF!=3, RANK(G33,G$8:G$81,1)+COUNTIF($G$8:G33,G33)-1, IF(#REF!=2, RANK(F33,F$8:F$81,1)+COUNTIF($F$8:F33,F33)-1, IF(#REF!=1, RANK(E33,E$8:E$81,1)+COUNTIF($E$8:E33,E33)-1))))</f>
        <v>#REF!</v>
      </c>
      <c r="U33" s="28" t="e">
        <f>IF(#REF!=4, H33, IF(#REF!=3, G33, IF(#REF!=2, F33, IF(#REF!=1, E33))))</f>
        <v>#REF!</v>
      </c>
      <c r="V33">
        <f t="shared" si="7"/>
        <v>1</v>
      </c>
      <c r="W33" s="9">
        <f t="shared" si="8"/>
        <v>100</v>
      </c>
      <c r="X33" t="e">
        <v>#N/A</v>
      </c>
      <c r="Y33" t="e">
        <v>#N/A</v>
      </c>
      <c r="Z33" t="e">
        <f t="shared" si="9"/>
        <v>#N/A</v>
      </c>
      <c r="AA33" t="e">
        <f t="shared" si="10"/>
        <v>#N/A</v>
      </c>
      <c r="AB33" t="e">
        <v>#N/A</v>
      </c>
      <c r="AC33" t="e">
        <v>#N/A</v>
      </c>
      <c r="AD33" t="e">
        <v>#N/A</v>
      </c>
      <c r="AE33" t="e">
        <v>#N/A</v>
      </c>
      <c r="AF33" t="e">
        <f t="shared" si="11"/>
        <v>#N/A</v>
      </c>
      <c r="AG33" t="e">
        <f t="shared" si="12"/>
        <v>#N/A</v>
      </c>
      <c r="AH33" t="e">
        <v>#N/A</v>
      </c>
      <c r="AI33" t="e">
        <v>#N/A</v>
      </c>
      <c r="AJ33" t="e">
        <v>#N/A</v>
      </c>
      <c r="AK33" t="e">
        <v>#N/A</v>
      </c>
      <c r="AL33" t="e">
        <f t="shared" si="13"/>
        <v>#N/A</v>
      </c>
      <c r="AM33" t="e">
        <f t="shared" si="14"/>
        <v>#N/A</v>
      </c>
      <c r="AN33" t="e">
        <v>#N/A</v>
      </c>
    </row>
    <row r="34" spans="1:40" x14ac:dyDescent="0.25">
      <c r="A34" s="5" t="s">
        <v>8</v>
      </c>
      <c r="B34" s="74" t="s">
        <v>9</v>
      </c>
      <c r="C34" s="5">
        <v>69</v>
      </c>
      <c r="D34" s="5">
        <v>38</v>
      </c>
      <c r="E34" s="86">
        <v>0.95652170000000003</v>
      </c>
      <c r="F34" s="86">
        <v>1</v>
      </c>
      <c r="G34" s="86">
        <v>0.96923079999999995</v>
      </c>
      <c r="H34" s="86">
        <v>0.95652170000000003</v>
      </c>
      <c r="I34" s="51">
        <f t="shared" si="1"/>
        <v>31</v>
      </c>
      <c r="J34" s="86">
        <v>0.55072463768115942</v>
      </c>
      <c r="K34" s="86">
        <v>0.44927536231884058</v>
      </c>
      <c r="L34" s="5" t="s">
        <v>187</v>
      </c>
      <c r="M34" s="5" t="s">
        <v>196</v>
      </c>
      <c r="N34" s="50">
        <v>0</v>
      </c>
      <c r="O34" t="str">
        <f t="shared" si="2"/>
        <v>R0A</v>
      </c>
      <c r="P34" s="22">
        <f t="shared" si="3"/>
        <v>3</v>
      </c>
      <c r="Q34" s="22">
        <f t="shared" si="4"/>
        <v>4</v>
      </c>
      <c r="R34" s="22">
        <f t="shared" si="5"/>
        <v>3</v>
      </c>
      <c r="S34" s="22">
        <f t="shared" si="6"/>
        <v>3</v>
      </c>
      <c r="T34" s="40" t="e">
        <f>IF(#REF!=4, RANK(H34,H$8:H$81,1)+COUNTIF($H$8:H34,H34)-1, IF(#REF!=3, RANK(G34,G$8:G$81,1)+COUNTIF($G$8:G34,G34)-1, IF(#REF!=2, RANK(F34,F$8:F$81,1)+COUNTIF($F$8:F34,F34)-1, IF(#REF!=1, RANK(E34,E$8:E$81,1)+COUNTIF($E$8:E34,E34)-1))))</f>
        <v>#REF!</v>
      </c>
      <c r="U34" s="28" t="e">
        <f>IF(#REF!=4, H34, IF(#REF!=3, G34, IF(#REF!=2, F34, IF(#REF!=1, E34))))</f>
        <v>#REF!</v>
      </c>
      <c r="V34">
        <f t="shared" si="7"/>
        <v>40</v>
      </c>
      <c r="W34" s="9">
        <f t="shared" si="8"/>
        <v>55.072463768115945</v>
      </c>
      <c r="X34">
        <v>42.618580000000001</v>
      </c>
      <c r="Y34">
        <v>67.077020000000005</v>
      </c>
      <c r="Z34">
        <f t="shared" si="9"/>
        <v>12.453883768115944</v>
      </c>
      <c r="AA34">
        <f t="shared" si="10"/>
        <v>24.458440000000003</v>
      </c>
      <c r="AB34" t="s">
        <v>525</v>
      </c>
      <c r="AC34">
        <v>89</v>
      </c>
      <c r="AD34">
        <v>51</v>
      </c>
      <c r="AE34">
        <v>134</v>
      </c>
      <c r="AF34">
        <f t="shared" si="11"/>
        <v>38</v>
      </c>
      <c r="AG34">
        <f t="shared" si="12"/>
        <v>45</v>
      </c>
      <c r="AH34" s="48">
        <v>0.3</v>
      </c>
      <c r="AI34">
        <v>30.303029999999996</v>
      </c>
      <c r="AJ34">
        <v>19.589970000000001</v>
      </c>
      <c r="AK34">
        <v>42.851649999999999</v>
      </c>
      <c r="AL34">
        <f t="shared" si="13"/>
        <v>10.713059999999995</v>
      </c>
      <c r="AM34">
        <f t="shared" si="14"/>
        <v>12.548620000000003</v>
      </c>
      <c r="AN34">
        <v>33</v>
      </c>
    </row>
    <row r="35" spans="1:40" x14ac:dyDescent="0.25">
      <c r="A35" s="5" t="s">
        <v>17</v>
      </c>
      <c r="B35" s="74" t="s">
        <v>339</v>
      </c>
      <c r="C35" s="5">
        <v>46</v>
      </c>
      <c r="D35" s="5">
        <v>40</v>
      </c>
      <c r="E35" s="86">
        <v>0.84782610000000003</v>
      </c>
      <c r="F35" s="86">
        <v>0.97826089999999999</v>
      </c>
      <c r="G35" s="86">
        <v>0.82051280000000004</v>
      </c>
      <c r="H35" s="86">
        <v>0.97826089999999999</v>
      </c>
      <c r="I35" s="51">
        <f t="shared" si="1"/>
        <v>6</v>
      </c>
      <c r="J35" s="86">
        <v>0.86956521739130432</v>
      </c>
      <c r="K35" s="86">
        <v>0.13043478260869565</v>
      </c>
      <c r="L35" s="5" t="s">
        <v>189</v>
      </c>
      <c r="M35" s="5" t="s">
        <v>414</v>
      </c>
      <c r="N35" s="50">
        <v>0.54935750000000005</v>
      </c>
      <c r="O35" t="str">
        <f t="shared" si="2"/>
        <v>RAJ</v>
      </c>
      <c r="P35" s="22">
        <f t="shared" si="3"/>
        <v>1</v>
      </c>
      <c r="Q35" s="22">
        <f t="shared" si="4"/>
        <v>2</v>
      </c>
      <c r="R35" s="22">
        <f t="shared" si="5"/>
        <v>1</v>
      </c>
      <c r="S35" s="22">
        <f t="shared" si="6"/>
        <v>3</v>
      </c>
      <c r="T35" s="40" t="e">
        <f>IF(#REF!=4, RANK(H35,H$8:H$81,1)+COUNTIF($H$8:H35,H35)-1, IF(#REF!=3, RANK(G35,G$8:G$81,1)+COUNTIF($G$8:G35,G35)-1, IF(#REF!=2, RANK(F35,F$8:F$81,1)+COUNTIF($F$8:F35,F35)-1, IF(#REF!=1, RANK(E35,E$8:E$81,1)+COUNTIF($E$8:E35,E35)-1))))</f>
        <v>#REF!</v>
      </c>
      <c r="U35" s="28" t="e">
        <f>IF(#REF!=4, H35, IF(#REF!=3, G35, IF(#REF!=2, F35, IF(#REF!=1, E35))))</f>
        <v>#REF!</v>
      </c>
      <c r="V35">
        <f t="shared" si="7"/>
        <v>8</v>
      </c>
      <c r="W35" s="9">
        <f t="shared" si="8"/>
        <v>86.956521739130437</v>
      </c>
      <c r="X35">
        <v>73.743499999999997</v>
      </c>
      <c r="Y35">
        <v>95.059259999999995</v>
      </c>
      <c r="Z35">
        <f t="shared" si="9"/>
        <v>13.21302173913044</v>
      </c>
      <c r="AA35">
        <f t="shared" si="10"/>
        <v>21.315759999999997</v>
      </c>
      <c r="AB35" t="s">
        <v>526</v>
      </c>
      <c r="AC35">
        <v>78</v>
      </c>
      <c r="AD35">
        <v>54</v>
      </c>
      <c r="AE35">
        <v>118</v>
      </c>
      <c r="AF35">
        <f t="shared" si="11"/>
        <v>24</v>
      </c>
      <c r="AG35">
        <f t="shared" si="12"/>
        <v>40</v>
      </c>
      <c r="AH35" s="48">
        <v>0.26</v>
      </c>
      <c r="AI35">
        <v>25.641029999999997</v>
      </c>
      <c r="AJ35">
        <v>13.037679999999998</v>
      </c>
      <c r="AK35">
        <v>42.127389999999998</v>
      </c>
      <c r="AL35">
        <f t="shared" si="13"/>
        <v>12.603349999999999</v>
      </c>
      <c r="AM35">
        <f t="shared" si="14"/>
        <v>16.486360000000001</v>
      </c>
      <c r="AN35">
        <v>24</v>
      </c>
    </row>
    <row r="36" spans="1:40" x14ac:dyDescent="0.25">
      <c r="A36" s="5" t="s">
        <v>83</v>
      </c>
      <c r="B36" s="74" t="s">
        <v>84</v>
      </c>
      <c r="C36" s="5">
        <v>68</v>
      </c>
      <c r="D36" s="5">
        <v>28</v>
      </c>
      <c r="E36" s="86">
        <v>0.92647060000000003</v>
      </c>
      <c r="F36" s="86">
        <v>1</v>
      </c>
      <c r="G36" s="86">
        <v>0.921875</v>
      </c>
      <c r="H36" s="86">
        <v>0.89705880000000005</v>
      </c>
      <c r="I36" s="51">
        <f t="shared" si="1"/>
        <v>40</v>
      </c>
      <c r="J36" s="86">
        <v>0.41176470588235292</v>
      </c>
      <c r="K36" s="86">
        <v>0.58823529411764708</v>
      </c>
      <c r="L36" s="5" t="s">
        <v>187</v>
      </c>
      <c r="M36" s="5" t="s">
        <v>440</v>
      </c>
      <c r="N36" s="50">
        <v>3.0630459999999999</v>
      </c>
      <c r="O36" t="str">
        <f t="shared" si="2"/>
        <v>RTD</v>
      </c>
      <c r="P36" s="22">
        <f t="shared" si="3"/>
        <v>2</v>
      </c>
      <c r="Q36" s="22">
        <f t="shared" si="4"/>
        <v>4</v>
      </c>
      <c r="R36" s="22">
        <f t="shared" si="5"/>
        <v>2</v>
      </c>
      <c r="S36" s="22">
        <f t="shared" si="6"/>
        <v>2</v>
      </c>
      <c r="T36" s="40" t="e">
        <f>IF(#REF!=4, RANK(H36,H$8:H$81,1)+COUNTIF($H$8:H36,H36)-1, IF(#REF!=3, RANK(G36,G$8:G$81,1)+COUNTIF($G$8:G36,G36)-1, IF(#REF!=2, RANK(F36,F$8:F$81,1)+COUNTIF($F$8:F36,F36)-1, IF(#REF!=1, RANK(E36,E$8:E$81,1)+COUNTIF($E$8:E36,E36)-1))))</f>
        <v>#REF!</v>
      </c>
      <c r="U36" s="28" t="e">
        <f>IF(#REF!=4, H36, IF(#REF!=3, G36, IF(#REF!=2, F36, IF(#REF!=1, E36))))</f>
        <v>#REF!</v>
      </c>
      <c r="V36">
        <f t="shared" si="7"/>
        <v>53</v>
      </c>
      <c r="W36" s="9">
        <f t="shared" si="8"/>
        <v>41.17647058823529</v>
      </c>
      <c r="X36">
        <v>29.373510000000003</v>
      </c>
      <c r="Y36">
        <v>53.773269999999997</v>
      </c>
      <c r="Z36">
        <f t="shared" si="9"/>
        <v>11.802960588235287</v>
      </c>
      <c r="AA36">
        <f t="shared" si="10"/>
        <v>24.399759999999993</v>
      </c>
      <c r="AB36" t="s">
        <v>527</v>
      </c>
      <c r="AC36">
        <v>83</v>
      </c>
      <c r="AD36">
        <v>49</v>
      </c>
      <c r="AE36">
        <v>137</v>
      </c>
      <c r="AF36">
        <f t="shared" si="11"/>
        <v>34</v>
      </c>
      <c r="AG36">
        <f t="shared" si="12"/>
        <v>54</v>
      </c>
      <c r="AH36" s="48">
        <v>0.28999999999999998</v>
      </c>
      <c r="AI36">
        <v>28.571429999999999</v>
      </c>
      <c r="AJ36">
        <v>17.89292</v>
      </c>
      <c r="AK36">
        <v>41.3461</v>
      </c>
      <c r="AL36">
        <f t="shared" si="13"/>
        <v>10.678509999999999</v>
      </c>
      <c r="AM36">
        <f t="shared" si="14"/>
        <v>12.77467</v>
      </c>
      <c r="AN36">
        <v>30</v>
      </c>
    </row>
    <row r="37" spans="1:40" x14ac:dyDescent="0.25">
      <c r="A37" s="5" t="s">
        <v>121</v>
      </c>
      <c r="B37" s="74" t="s">
        <v>122</v>
      </c>
      <c r="C37" s="5">
        <v>2</v>
      </c>
      <c r="D37" s="5">
        <v>0</v>
      </c>
      <c r="E37" s="86">
        <v>1</v>
      </c>
      <c r="F37" s="86">
        <v>1</v>
      </c>
      <c r="G37" s="86">
        <v>1</v>
      </c>
      <c r="H37" s="86">
        <v>1</v>
      </c>
      <c r="I37" s="51">
        <f t="shared" si="1"/>
        <v>2</v>
      </c>
      <c r="J37" s="86">
        <v>0</v>
      </c>
      <c r="K37" s="86">
        <v>1</v>
      </c>
      <c r="L37" s="5" t="s">
        <v>411</v>
      </c>
      <c r="M37" s="5" t="s">
        <v>416</v>
      </c>
      <c r="N37" s="50">
        <v>0</v>
      </c>
      <c r="O37" t="str">
        <f t="shared" si="2"/>
        <v>SA999</v>
      </c>
      <c r="P37" s="22">
        <f t="shared" si="3"/>
        <v>4</v>
      </c>
      <c r="Q37" s="22">
        <f t="shared" si="4"/>
        <v>4</v>
      </c>
      <c r="R37" s="22">
        <f t="shared" si="5"/>
        <v>4</v>
      </c>
      <c r="S37" s="22">
        <f t="shared" si="6"/>
        <v>4</v>
      </c>
      <c r="T37" s="40" t="e">
        <f>IF(#REF!=4, RANK(H37,H$8:H$81,1)+COUNTIF($H$8:H37,H37)-1, IF(#REF!=3, RANK(G37,G$8:G$81,1)+COUNTIF($G$8:G37,G37)-1, IF(#REF!=2, RANK(F37,F$8:F$81,1)+COUNTIF($F$8:F37,F37)-1, IF(#REF!=1, RANK(E37,E$8:E$81,1)+COUNTIF($E$8:E37,E37)-1))))</f>
        <v>#REF!</v>
      </c>
      <c r="U37" s="28" t="e">
        <f>IF(#REF!=4, H37, IF(#REF!=3, G37, IF(#REF!=2, F37, IF(#REF!=1, E37))))</f>
        <v>#REF!</v>
      </c>
      <c r="V37">
        <f t="shared" si="7"/>
        <v>69</v>
      </c>
      <c r="W37" s="9">
        <f t="shared" si="8"/>
        <v>0</v>
      </c>
      <c r="X37" t="e">
        <v>#N/A</v>
      </c>
      <c r="Y37" t="e">
        <v>#N/A</v>
      </c>
      <c r="Z37" t="e">
        <f t="shared" si="9"/>
        <v>#N/A</v>
      </c>
      <c r="AA37" t="e">
        <f t="shared" si="10"/>
        <v>#N/A</v>
      </c>
      <c r="AB37" t="e">
        <v>#N/A</v>
      </c>
      <c r="AC37" t="e">
        <v>#N/A</v>
      </c>
      <c r="AD37" t="e">
        <v>#N/A</v>
      </c>
      <c r="AE37" t="e">
        <v>#N/A</v>
      </c>
      <c r="AF37" t="e">
        <f t="shared" si="11"/>
        <v>#N/A</v>
      </c>
      <c r="AG37" t="e">
        <f t="shared" si="12"/>
        <v>#N/A</v>
      </c>
      <c r="AH37" t="e">
        <v>#N/A</v>
      </c>
      <c r="AI37" t="e">
        <v>#N/A</v>
      </c>
      <c r="AJ37" t="e">
        <v>#N/A</v>
      </c>
      <c r="AK37" t="e">
        <v>#N/A</v>
      </c>
      <c r="AL37" t="e">
        <f t="shared" si="13"/>
        <v>#N/A</v>
      </c>
      <c r="AM37" t="e">
        <f t="shared" si="14"/>
        <v>#N/A</v>
      </c>
      <c r="AN37" t="e">
        <v>#N/A</v>
      </c>
    </row>
    <row r="38" spans="1:40" x14ac:dyDescent="0.25">
      <c r="A38" s="5" t="s">
        <v>129</v>
      </c>
      <c r="B38" s="74" t="s">
        <v>130</v>
      </c>
      <c r="C38" s="5">
        <v>27</v>
      </c>
      <c r="D38" s="5">
        <v>19</v>
      </c>
      <c r="E38" s="86">
        <v>0.59259260000000002</v>
      </c>
      <c r="F38" s="86">
        <v>1</v>
      </c>
      <c r="G38" s="86">
        <v>0.59259260000000002</v>
      </c>
      <c r="H38" s="86">
        <v>0.40740739999999998</v>
      </c>
      <c r="I38" s="51">
        <f t="shared" si="1"/>
        <v>8</v>
      </c>
      <c r="J38" s="86">
        <v>0.70370370370370372</v>
      </c>
      <c r="K38" s="86">
        <v>0.29629629629629628</v>
      </c>
      <c r="L38" s="5" t="s">
        <v>187</v>
      </c>
      <c r="M38" s="5" t="s">
        <v>445</v>
      </c>
      <c r="N38" s="50">
        <v>1.60172</v>
      </c>
      <c r="O38" t="str">
        <f t="shared" si="2"/>
        <v>SN999</v>
      </c>
      <c r="P38" s="22">
        <f t="shared" si="3"/>
        <v>1</v>
      </c>
      <c r="Q38" s="22">
        <f t="shared" si="4"/>
        <v>4</v>
      </c>
      <c r="R38" s="22">
        <f t="shared" si="5"/>
        <v>1</v>
      </c>
      <c r="S38" s="22">
        <f t="shared" si="6"/>
        <v>1</v>
      </c>
      <c r="T38" s="40" t="e">
        <f>IF(#REF!=4, RANK(H38,H$8:H$81,1)+COUNTIF($H$8:H38,H38)-1, IF(#REF!=3, RANK(G38,G$8:G$81,1)+COUNTIF($G$8:G38,G38)-1, IF(#REF!=2, RANK(F38,F$8:F$81,1)+COUNTIF($F$8:F38,F38)-1, IF(#REF!=1, RANK(E38,E$8:E$81,1)+COUNTIF($E$8:E38,E38)-1))))</f>
        <v>#REF!</v>
      </c>
      <c r="U38" s="28" t="e">
        <f>IF(#REF!=4, H38, IF(#REF!=3, G38, IF(#REF!=2, F38, IF(#REF!=1, E38))))</f>
        <v>#REF!</v>
      </c>
      <c r="V38">
        <f t="shared" si="7"/>
        <v>22</v>
      </c>
      <c r="W38" s="9">
        <f t="shared" si="8"/>
        <v>70.370370370370367</v>
      </c>
      <c r="X38">
        <v>49.818630000000006</v>
      </c>
      <c r="Y38">
        <v>86.247339999999994</v>
      </c>
      <c r="Z38">
        <f t="shared" si="9"/>
        <v>20.551740370370361</v>
      </c>
      <c r="AA38">
        <f t="shared" si="10"/>
        <v>36.428709999999988</v>
      </c>
      <c r="AB38" t="s">
        <v>528</v>
      </c>
      <c r="AC38">
        <v>140</v>
      </c>
      <c r="AD38">
        <v>89</v>
      </c>
      <c r="AE38">
        <v>167</v>
      </c>
      <c r="AF38">
        <f t="shared" si="11"/>
        <v>51</v>
      </c>
      <c r="AG38">
        <f t="shared" si="12"/>
        <v>27</v>
      </c>
      <c r="AH38" s="48">
        <v>0.19</v>
      </c>
      <c r="AI38">
        <v>18.75</v>
      </c>
      <c r="AJ38">
        <v>4.0473699999999999</v>
      </c>
      <c r="AK38">
        <v>45.645649999999996</v>
      </c>
      <c r="AL38">
        <f t="shared" si="13"/>
        <v>14.702629999999999</v>
      </c>
      <c r="AM38">
        <f t="shared" si="14"/>
        <v>26.895649999999996</v>
      </c>
      <c r="AN38">
        <v>55</v>
      </c>
    </row>
    <row r="39" spans="1:40" x14ac:dyDescent="0.25">
      <c r="A39" s="5" t="s">
        <v>123</v>
      </c>
      <c r="B39" s="74" t="s">
        <v>124</v>
      </c>
      <c r="C39" s="5">
        <v>34</v>
      </c>
      <c r="D39" s="5">
        <v>22</v>
      </c>
      <c r="E39" s="86">
        <v>0.82352939999999997</v>
      </c>
      <c r="F39" s="86">
        <v>0.94117649999999997</v>
      </c>
      <c r="G39" s="86">
        <v>0.8</v>
      </c>
      <c r="H39" s="86">
        <v>0.73529409999999995</v>
      </c>
      <c r="I39" s="51">
        <f t="shared" si="1"/>
        <v>12</v>
      </c>
      <c r="J39" s="86">
        <v>0.6470588235294118</v>
      </c>
      <c r="K39" s="86">
        <v>0.35294117647058826</v>
      </c>
      <c r="L39" s="5" t="s">
        <v>183</v>
      </c>
      <c r="M39" s="5" t="s">
        <v>208</v>
      </c>
      <c r="N39" s="50">
        <v>0.89534689999999995</v>
      </c>
      <c r="O39" t="str">
        <f t="shared" si="2"/>
        <v>SG999</v>
      </c>
      <c r="P39" s="22">
        <f t="shared" si="3"/>
        <v>1</v>
      </c>
      <c r="Q39" s="22">
        <f t="shared" si="4"/>
        <v>1</v>
      </c>
      <c r="R39" s="22">
        <f t="shared" si="5"/>
        <v>1</v>
      </c>
      <c r="S39" s="22">
        <f t="shared" si="6"/>
        <v>1</v>
      </c>
      <c r="T39" s="40" t="e">
        <f>IF(#REF!=4, RANK(H39,H$8:H$81,1)+COUNTIF($H$8:H39,H39)-1, IF(#REF!=3, RANK(G39,G$8:G$81,1)+COUNTIF($G$8:G39,G39)-1, IF(#REF!=2, RANK(F39,F$8:F$81,1)+COUNTIF($F$8:F39,F39)-1, IF(#REF!=1, RANK(E39,E$8:E$81,1)+COUNTIF($E$8:E39,E39)-1))))</f>
        <v>#REF!</v>
      </c>
      <c r="U39" s="28" t="e">
        <f>IF(#REF!=4, H39, IF(#REF!=3, G39, IF(#REF!=2, F39, IF(#REF!=1, E39))))</f>
        <v>#REF!</v>
      </c>
      <c r="V39">
        <f t="shared" si="7"/>
        <v>25</v>
      </c>
      <c r="W39" s="9">
        <f t="shared" si="8"/>
        <v>64.705882352941174</v>
      </c>
      <c r="X39">
        <v>46.488639999999997</v>
      </c>
      <c r="Y39">
        <v>80.254139999999992</v>
      </c>
      <c r="Z39">
        <f t="shared" si="9"/>
        <v>18.217242352941177</v>
      </c>
      <c r="AA39">
        <f t="shared" si="10"/>
        <v>33.765499999999996</v>
      </c>
      <c r="AB39" t="s">
        <v>529</v>
      </c>
      <c r="AC39">
        <v>48</v>
      </c>
      <c r="AD39">
        <v>36</v>
      </c>
      <c r="AE39">
        <v>95</v>
      </c>
      <c r="AF39">
        <f t="shared" si="11"/>
        <v>12</v>
      </c>
      <c r="AG39">
        <f t="shared" si="12"/>
        <v>47</v>
      </c>
      <c r="AH39" s="48">
        <v>0.54</v>
      </c>
      <c r="AI39">
        <v>53.571429999999999</v>
      </c>
      <c r="AJ39">
        <v>33.869909999999997</v>
      </c>
      <c r="AK39">
        <v>72.489139999999992</v>
      </c>
      <c r="AL39">
        <f t="shared" si="13"/>
        <v>19.701520000000002</v>
      </c>
      <c r="AM39">
        <f t="shared" si="14"/>
        <v>18.917709999999992</v>
      </c>
      <c r="AN39">
        <v>2</v>
      </c>
    </row>
    <row r="40" spans="1:40" x14ac:dyDescent="0.25">
      <c r="A40" s="5" t="s">
        <v>125</v>
      </c>
      <c r="B40" s="74" t="s">
        <v>126</v>
      </c>
      <c r="C40" s="5">
        <v>18</v>
      </c>
      <c r="D40" s="5">
        <v>7</v>
      </c>
      <c r="E40" s="86">
        <v>1</v>
      </c>
      <c r="F40" s="86">
        <v>1</v>
      </c>
      <c r="G40" s="86">
        <v>1</v>
      </c>
      <c r="H40" s="86">
        <v>1</v>
      </c>
      <c r="I40" s="51">
        <f t="shared" ref="I40:I71" si="15">C40-D40</f>
        <v>11</v>
      </c>
      <c r="J40" s="86">
        <v>0.3888888888888889</v>
      </c>
      <c r="K40" s="86">
        <v>0.61111111111111116</v>
      </c>
      <c r="L40" s="5" t="s">
        <v>193</v>
      </c>
      <c r="M40" s="5" t="s">
        <v>209</v>
      </c>
      <c r="N40" s="50">
        <v>1.7933619999999999</v>
      </c>
      <c r="O40" t="str">
        <f t="shared" ref="O40:O71" si="16">A40</f>
        <v>SH999</v>
      </c>
      <c r="P40" s="22">
        <f t="shared" ref="P40:P71" si="17">+IF(E40&lt;E$2,1,IF(E40&lt;E$3,2,IF(E40&lt;E$4,3,4)))</f>
        <v>4</v>
      </c>
      <c r="Q40" s="22">
        <f t="shared" ref="Q40:Q71" si="18">+IF(F40&lt;F$2,1,IF(F40&lt;F$3,2,IF(F40&lt;F$4,3,4)))</f>
        <v>4</v>
      </c>
      <c r="R40" s="22">
        <f t="shared" ref="R40:R71" si="19">+IF(G40&lt;G$2,1,IF(G40&lt;G$3,2,IF(G40&lt;G$4,3,4)))</f>
        <v>4</v>
      </c>
      <c r="S40" s="22">
        <f t="shared" ref="S40:S71" si="20">+IF(H40&lt;H$2,1,IF(H40&lt;H$3,2,IF(H40&lt;H$4,3,4)))</f>
        <v>4</v>
      </c>
      <c r="T40" s="40" t="e">
        <f>IF(#REF!=4, RANK(H40,H$8:H$81,1)+COUNTIF($H$8:H40,H40)-1, IF(#REF!=3, RANK(G40,G$8:G$81,1)+COUNTIF($G$8:G40,G40)-1, IF(#REF!=2, RANK(F40,F$8:F$81,1)+COUNTIF($F$8:F40,F40)-1, IF(#REF!=1, RANK(E40,E$8:E$81,1)+COUNTIF($E$8:E40,E40)-1))))</f>
        <v>#REF!</v>
      </c>
      <c r="U40" s="28" t="e">
        <f>IF(#REF!=4, H40, IF(#REF!=3, G40, IF(#REF!=2, F40, IF(#REF!=1, E40))))</f>
        <v>#REF!</v>
      </c>
      <c r="V40">
        <f t="shared" ref="V40:V71" si="21">RANK(J40,$J$8:$J$77)</f>
        <v>59</v>
      </c>
      <c r="W40" s="9">
        <f t="shared" si="8"/>
        <v>38.888888888888893</v>
      </c>
      <c r="X40">
        <v>17.298590000000001</v>
      </c>
      <c r="Y40">
        <v>64.25488</v>
      </c>
      <c r="Z40">
        <f t="shared" si="9"/>
        <v>21.590298888888892</v>
      </c>
      <c r="AA40">
        <f t="shared" si="10"/>
        <v>46.956289999999996</v>
      </c>
      <c r="AB40" t="s">
        <v>530</v>
      </c>
      <c r="AC40">
        <v>61</v>
      </c>
      <c r="AD40">
        <v>49</v>
      </c>
      <c r="AE40">
        <v>97</v>
      </c>
      <c r="AF40">
        <f t="shared" si="11"/>
        <v>12</v>
      </c>
      <c r="AG40">
        <f t="shared" si="12"/>
        <v>36</v>
      </c>
      <c r="AH40" s="48">
        <v>0.39</v>
      </c>
      <c r="AI40">
        <v>38.888889999999996</v>
      </c>
      <c r="AJ40">
        <v>17.298590000000001</v>
      </c>
      <c r="AK40">
        <v>64.25488</v>
      </c>
      <c r="AL40">
        <f t="shared" si="13"/>
        <v>21.590299999999996</v>
      </c>
      <c r="AM40">
        <f t="shared" si="14"/>
        <v>25.365990000000004</v>
      </c>
      <c r="AN40">
        <v>6</v>
      </c>
    </row>
    <row r="41" spans="1:40" x14ac:dyDescent="0.25">
      <c r="A41" s="5" t="s">
        <v>127</v>
      </c>
      <c r="B41" s="74" t="s">
        <v>128</v>
      </c>
      <c r="C41" s="5">
        <v>34</v>
      </c>
      <c r="D41" s="5">
        <v>16</v>
      </c>
      <c r="E41" s="86">
        <v>0.55882350000000003</v>
      </c>
      <c r="F41" s="86">
        <v>1</v>
      </c>
      <c r="G41" s="86">
        <v>0.64285709999999996</v>
      </c>
      <c r="H41" s="86">
        <v>0.47058820000000001</v>
      </c>
      <c r="I41" s="51">
        <f t="shared" si="15"/>
        <v>18</v>
      </c>
      <c r="J41" s="86">
        <v>0.47058823529411764</v>
      </c>
      <c r="K41" s="86">
        <v>0.52941176470588236</v>
      </c>
      <c r="L41" s="5" t="s">
        <v>443</v>
      </c>
      <c r="M41" s="5" t="s">
        <v>444</v>
      </c>
      <c r="N41" s="50">
        <v>2.738289</v>
      </c>
      <c r="O41" t="str">
        <f t="shared" si="16"/>
        <v>SL999</v>
      </c>
      <c r="P41" s="22">
        <f t="shared" si="17"/>
        <v>1</v>
      </c>
      <c r="Q41" s="22">
        <f t="shared" si="18"/>
        <v>4</v>
      </c>
      <c r="R41" s="22">
        <f t="shared" si="19"/>
        <v>1</v>
      </c>
      <c r="S41" s="22">
        <f t="shared" si="20"/>
        <v>1</v>
      </c>
      <c r="T41" s="40" t="e">
        <f>IF(#REF!=4, RANK(H41,H$8:H$81,1)+COUNTIF($H$8:H41,H41)-1, IF(#REF!=3, RANK(G41,G$8:G$81,1)+COUNTIF($G$8:G41,G41)-1, IF(#REF!=2, RANK(F41,F$8:F$81,1)+COUNTIF($F$8:F41,F41)-1, IF(#REF!=1, RANK(E41,E$8:E$81,1)+COUNTIF($E$8:E41,E41)-1))))</f>
        <v>#REF!</v>
      </c>
      <c r="U41" s="28" t="e">
        <f>IF(#REF!=4, H41, IF(#REF!=3, G41, IF(#REF!=2, F41, IF(#REF!=1, E41))))</f>
        <v>#REF!</v>
      </c>
      <c r="V41">
        <f t="shared" si="21"/>
        <v>48</v>
      </c>
      <c r="W41" s="9">
        <f t="shared" si="8"/>
        <v>47.058823529411761</v>
      </c>
      <c r="X41">
        <v>29.778670000000002</v>
      </c>
      <c r="Y41">
        <v>64.870720000000006</v>
      </c>
      <c r="Z41">
        <f t="shared" si="9"/>
        <v>17.280153529411759</v>
      </c>
      <c r="AA41">
        <f t="shared" si="10"/>
        <v>35.09205</v>
      </c>
      <c r="AB41" t="s">
        <v>531</v>
      </c>
      <c r="AC41">
        <v>116</v>
      </c>
      <c r="AD41">
        <v>51</v>
      </c>
      <c r="AE41">
        <v>222</v>
      </c>
      <c r="AF41">
        <f t="shared" si="11"/>
        <v>65</v>
      </c>
      <c r="AG41">
        <f t="shared" si="12"/>
        <v>106</v>
      </c>
      <c r="AH41" s="48">
        <v>0.26</v>
      </c>
      <c r="AI41">
        <v>26.31579</v>
      </c>
      <c r="AJ41">
        <v>9.1465800000000002</v>
      </c>
      <c r="AK41">
        <v>51.202930000000002</v>
      </c>
      <c r="AL41">
        <f t="shared" si="13"/>
        <v>17.16921</v>
      </c>
      <c r="AM41">
        <f t="shared" si="14"/>
        <v>24.887140000000002</v>
      </c>
      <c r="AN41">
        <v>47</v>
      </c>
    </row>
    <row r="42" spans="1:40" x14ac:dyDescent="0.25">
      <c r="A42" s="5" t="s">
        <v>131</v>
      </c>
      <c r="B42" s="74" t="s">
        <v>132</v>
      </c>
      <c r="C42" s="5">
        <v>42</v>
      </c>
      <c r="D42" s="5">
        <v>16</v>
      </c>
      <c r="E42" s="86">
        <v>0.97619040000000001</v>
      </c>
      <c r="F42" s="86">
        <v>1</v>
      </c>
      <c r="G42" s="86">
        <v>0.9736842</v>
      </c>
      <c r="H42" s="86">
        <v>0.92857140000000005</v>
      </c>
      <c r="I42" s="51">
        <f t="shared" si="15"/>
        <v>26</v>
      </c>
      <c r="J42" s="86">
        <v>0.38095238095238093</v>
      </c>
      <c r="K42" s="86">
        <v>0.61904761904761907</v>
      </c>
      <c r="L42" s="5" t="s">
        <v>446</v>
      </c>
      <c r="M42" s="5" t="s">
        <v>447</v>
      </c>
      <c r="N42" s="50">
        <v>1.0804560000000001</v>
      </c>
      <c r="O42" t="str">
        <f t="shared" si="16"/>
        <v>SS999</v>
      </c>
      <c r="P42" s="22">
        <f t="shared" si="17"/>
        <v>3</v>
      </c>
      <c r="Q42" s="22">
        <f t="shared" si="18"/>
        <v>4</v>
      </c>
      <c r="R42" s="22">
        <f t="shared" si="19"/>
        <v>3</v>
      </c>
      <c r="S42" s="22">
        <f t="shared" si="20"/>
        <v>3</v>
      </c>
      <c r="T42" s="40" t="e">
        <f>IF(#REF!=4, RANK(H42,H$8:H$81,1)+COUNTIF($H$8:H42,H42)-1, IF(#REF!=3, RANK(G42,G$8:G$81,1)+COUNTIF($G$8:G42,G42)-1, IF(#REF!=2, RANK(F42,F$8:F$81,1)+COUNTIF($F$8:F42,F42)-1, IF(#REF!=1, RANK(E42,E$8:E$81,1)+COUNTIF($E$8:E42,E42)-1))))</f>
        <v>#REF!</v>
      </c>
      <c r="U42" s="28" t="e">
        <f>IF(#REF!=4, H42, IF(#REF!=3, G42, IF(#REF!=2, F42, IF(#REF!=1, E42))))</f>
        <v>#REF!</v>
      </c>
      <c r="V42">
        <f t="shared" si="21"/>
        <v>62</v>
      </c>
      <c r="W42" s="9">
        <f t="shared" si="8"/>
        <v>38.095238095238095</v>
      </c>
      <c r="X42">
        <v>23.572050000000001</v>
      </c>
      <c r="Y42">
        <v>54.363249999999994</v>
      </c>
      <c r="Z42">
        <f t="shared" si="9"/>
        <v>14.523188095238094</v>
      </c>
      <c r="AA42">
        <f t="shared" si="10"/>
        <v>30.791199999999993</v>
      </c>
      <c r="AB42" t="s">
        <v>532</v>
      </c>
      <c r="AC42">
        <v>78</v>
      </c>
      <c r="AD42">
        <v>57</v>
      </c>
      <c r="AE42">
        <v>137</v>
      </c>
      <c r="AF42">
        <f t="shared" si="11"/>
        <v>21</v>
      </c>
      <c r="AG42">
        <f t="shared" si="12"/>
        <v>59</v>
      </c>
      <c r="AH42" s="48">
        <v>0.24</v>
      </c>
      <c r="AI42">
        <v>24.390239999999999</v>
      </c>
      <c r="AJ42">
        <v>12.363250000000001</v>
      </c>
      <c r="AK42">
        <v>40.304630000000003</v>
      </c>
      <c r="AL42">
        <f t="shared" si="13"/>
        <v>12.026989999999998</v>
      </c>
      <c r="AM42">
        <f t="shared" si="14"/>
        <v>15.914390000000004</v>
      </c>
      <c r="AN42">
        <v>25</v>
      </c>
    </row>
    <row r="43" spans="1:40" x14ac:dyDescent="0.25">
      <c r="A43" s="5" t="s">
        <v>133</v>
      </c>
      <c r="B43" s="74" t="s">
        <v>134</v>
      </c>
      <c r="C43" s="5">
        <v>25</v>
      </c>
      <c r="D43" s="5">
        <v>9</v>
      </c>
      <c r="E43" s="86">
        <v>1</v>
      </c>
      <c r="F43" s="86">
        <v>0.96</v>
      </c>
      <c r="G43" s="86">
        <v>1</v>
      </c>
      <c r="H43" s="86">
        <v>1</v>
      </c>
      <c r="I43" s="51">
        <f t="shared" si="15"/>
        <v>16</v>
      </c>
      <c r="J43" s="86">
        <v>0.36</v>
      </c>
      <c r="K43" s="86">
        <v>0.64</v>
      </c>
      <c r="L43" s="5" t="s">
        <v>448</v>
      </c>
      <c r="M43" s="5" t="s">
        <v>449</v>
      </c>
      <c r="N43" s="50">
        <v>0</v>
      </c>
      <c r="O43" t="str">
        <f t="shared" si="16"/>
        <v>ST999</v>
      </c>
      <c r="P43" s="22">
        <f t="shared" si="17"/>
        <v>4</v>
      </c>
      <c r="Q43" s="22">
        <f t="shared" si="18"/>
        <v>1</v>
      </c>
      <c r="R43" s="22">
        <f t="shared" si="19"/>
        <v>4</v>
      </c>
      <c r="S43" s="22">
        <f t="shared" si="20"/>
        <v>4</v>
      </c>
      <c r="T43" s="40" t="e">
        <f>IF(#REF!=4, RANK(H43,H$8:H$81,1)+COUNTIF($H$8:H43,H43)-1, IF(#REF!=3, RANK(G43,G$8:G$81,1)+COUNTIF($G$8:G43,G43)-1, IF(#REF!=2, RANK(F43,F$8:F$81,1)+COUNTIF($F$8:F43,F43)-1, IF(#REF!=1, RANK(E43,E$8:E$81,1)+COUNTIF($E$8:E43,E43)-1))))</f>
        <v>#REF!</v>
      </c>
      <c r="U43" s="28" t="e">
        <f>IF(#REF!=4, H43, IF(#REF!=3, G43, IF(#REF!=2, F43, IF(#REF!=1, E43))))</f>
        <v>#REF!</v>
      </c>
      <c r="V43">
        <f t="shared" si="21"/>
        <v>63</v>
      </c>
      <c r="W43" s="9">
        <f t="shared" si="8"/>
        <v>36</v>
      </c>
      <c r="X43">
        <v>17.971679999999999</v>
      </c>
      <c r="Y43">
        <v>57.47936</v>
      </c>
      <c r="Z43">
        <f t="shared" si="9"/>
        <v>18.028320000000001</v>
      </c>
      <c r="AA43">
        <f t="shared" si="10"/>
        <v>39.507680000000001</v>
      </c>
      <c r="AB43" t="s">
        <v>533</v>
      </c>
      <c r="AC43">
        <v>148</v>
      </c>
      <c r="AD43">
        <v>132</v>
      </c>
      <c r="AE43">
        <v>216</v>
      </c>
      <c r="AF43">
        <f t="shared" si="11"/>
        <v>16</v>
      </c>
      <c r="AG43">
        <f t="shared" si="12"/>
        <v>68</v>
      </c>
      <c r="AH43" s="48">
        <v>0.12</v>
      </c>
      <c r="AI43">
        <v>12</v>
      </c>
      <c r="AJ43">
        <v>2.5465399999999998</v>
      </c>
      <c r="AK43">
        <v>31.219029999999997</v>
      </c>
      <c r="AL43">
        <f t="shared" si="13"/>
        <v>9.4534599999999998</v>
      </c>
      <c r="AM43">
        <f t="shared" si="14"/>
        <v>19.219029999999997</v>
      </c>
      <c r="AN43">
        <v>56</v>
      </c>
    </row>
    <row r="44" spans="1:40" x14ac:dyDescent="0.25">
      <c r="A44" s="5" t="s">
        <v>60</v>
      </c>
      <c r="B44" s="74" t="s">
        <v>61</v>
      </c>
      <c r="C44" s="5">
        <v>71</v>
      </c>
      <c r="D44" s="5">
        <v>37</v>
      </c>
      <c r="E44" s="86">
        <v>0.971831</v>
      </c>
      <c r="F44" s="86">
        <v>0.971831</v>
      </c>
      <c r="G44" s="86">
        <v>0.98507460000000002</v>
      </c>
      <c r="H44" s="86">
        <v>0.83098590000000006</v>
      </c>
      <c r="I44" s="51">
        <f t="shared" si="15"/>
        <v>34</v>
      </c>
      <c r="J44" s="86">
        <v>0.52112676056338025</v>
      </c>
      <c r="K44" s="86">
        <v>0.47887323943661969</v>
      </c>
      <c r="L44" s="5" t="s">
        <v>183</v>
      </c>
      <c r="M44" s="5" t="s">
        <v>428</v>
      </c>
      <c r="N44" s="50">
        <v>0.96944390000000003</v>
      </c>
      <c r="O44" t="str">
        <f t="shared" si="16"/>
        <v>RM1</v>
      </c>
      <c r="P44" s="22">
        <f t="shared" si="17"/>
        <v>3</v>
      </c>
      <c r="Q44" s="22">
        <f t="shared" si="18"/>
        <v>1</v>
      </c>
      <c r="R44" s="22">
        <f t="shared" si="19"/>
        <v>3</v>
      </c>
      <c r="S44" s="22">
        <f t="shared" si="20"/>
        <v>2</v>
      </c>
      <c r="T44" s="40" t="e">
        <f>IF(#REF!=4, RANK(H44,H$8:H$81,1)+COUNTIF($H$8:H44,H44)-1, IF(#REF!=3, RANK(G44,G$8:G$81,1)+COUNTIF($G$8:G44,G44)-1, IF(#REF!=2, RANK(F44,F$8:F$81,1)+COUNTIF($F$8:F44,F44)-1, IF(#REF!=1, RANK(E44,E$8:E$81,1)+COUNTIF($E$8:E44,E44)-1))))</f>
        <v>#REF!</v>
      </c>
      <c r="U44" s="28" t="e">
        <f>IF(#REF!=4, H44, IF(#REF!=3, G44, IF(#REF!=2, F44, IF(#REF!=1, E44))))</f>
        <v>#REF!</v>
      </c>
      <c r="V44">
        <f t="shared" si="21"/>
        <v>44</v>
      </c>
      <c r="W44" s="9">
        <f t="shared" si="8"/>
        <v>52.112676056338024</v>
      </c>
      <c r="X44">
        <v>39.921520000000001</v>
      </c>
      <c r="Y44">
        <v>64.122079999999997</v>
      </c>
      <c r="Z44">
        <f t="shared" si="9"/>
        <v>12.191156056338023</v>
      </c>
      <c r="AA44">
        <f t="shared" si="10"/>
        <v>24.200559999999996</v>
      </c>
      <c r="AB44" t="s">
        <v>534</v>
      </c>
      <c r="AC44">
        <v>65</v>
      </c>
      <c r="AD44">
        <v>32</v>
      </c>
      <c r="AE44">
        <v>107</v>
      </c>
      <c r="AF44">
        <f t="shared" si="11"/>
        <v>33</v>
      </c>
      <c r="AG44">
        <f t="shared" si="12"/>
        <v>42</v>
      </c>
      <c r="AH44" s="48">
        <v>0.45</v>
      </c>
      <c r="AI44">
        <v>44.92754</v>
      </c>
      <c r="AJ44">
        <v>32.922989999999999</v>
      </c>
      <c r="AK44">
        <v>57.381420000000006</v>
      </c>
      <c r="AL44">
        <f t="shared" si="13"/>
        <v>12.004550000000002</v>
      </c>
      <c r="AM44">
        <f t="shared" si="14"/>
        <v>12.453880000000005</v>
      </c>
      <c r="AN44">
        <v>11</v>
      </c>
    </row>
    <row r="45" spans="1:40" x14ac:dyDescent="0.25">
      <c r="A45" s="5" t="s">
        <v>92</v>
      </c>
      <c r="B45" s="74" t="s">
        <v>93</v>
      </c>
      <c r="C45" s="5">
        <v>36</v>
      </c>
      <c r="D45" s="5">
        <v>23</v>
      </c>
      <c r="E45" s="86">
        <v>1</v>
      </c>
      <c r="F45" s="86">
        <v>1</v>
      </c>
      <c r="G45" s="86">
        <v>1</v>
      </c>
      <c r="H45" s="86">
        <v>1</v>
      </c>
      <c r="I45" s="51">
        <f t="shared" si="15"/>
        <v>13</v>
      </c>
      <c r="J45" s="86">
        <v>0.63888888888888884</v>
      </c>
      <c r="K45" s="86">
        <v>0.3611111111111111</v>
      </c>
      <c r="L45" s="5" t="s">
        <v>187</v>
      </c>
      <c r="M45" s="5" t="s">
        <v>196</v>
      </c>
      <c r="N45" s="50">
        <v>1.637424</v>
      </c>
      <c r="O45" t="str">
        <f t="shared" si="16"/>
        <v>RVJ</v>
      </c>
      <c r="P45" s="22">
        <f t="shared" si="17"/>
        <v>4</v>
      </c>
      <c r="Q45" s="22">
        <f t="shared" si="18"/>
        <v>4</v>
      </c>
      <c r="R45" s="22">
        <f t="shared" si="19"/>
        <v>4</v>
      </c>
      <c r="S45" s="22">
        <f t="shared" si="20"/>
        <v>4</v>
      </c>
      <c r="T45" s="40" t="e">
        <f>IF(#REF!=4, RANK(H45,H$8:H$81,1)+COUNTIF($H$8:H45,H45)-1, IF(#REF!=3, RANK(G45,G$8:G$81,1)+COUNTIF($G$8:G45,G45)-1, IF(#REF!=2, RANK(F45,F$8:F$81,1)+COUNTIF($F$8:F45,F45)-1, IF(#REF!=1, RANK(E45,E$8:E$81,1)+COUNTIF($E$8:E45,E45)-1))))</f>
        <v>#REF!</v>
      </c>
      <c r="U45" s="28" t="e">
        <f>IF(#REF!=4, H45, IF(#REF!=3, G45, IF(#REF!=2, F45, IF(#REF!=1, E45))))</f>
        <v>#REF!</v>
      </c>
      <c r="V45">
        <f t="shared" si="21"/>
        <v>26</v>
      </c>
      <c r="W45" s="9">
        <f t="shared" si="8"/>
        <v>63.888888888888886</v>
      </c>
      <c r="X45">
        <v>46.2209</v>
      </c>
      <c r="Y45">
        <v>79.177710000000005</v>
      </c>
      <c r="Z45">
        <f t="shared" si="9"/>
        <v>17.667988888888885</v>
      </c>
      <c r="AA45">
        <f t="shared" si="10"/>
        <v>32.956810000000004</v>
      </c>
      <c r="AB45" t="s">
        <v>535</v>
      </c>
      <c r="AC45">
        <v>78</v>
      </c>
      <c r="AD45">
        <v>44</v>
      </c>
      <c r="AE45">
        <v>128</v>
      </c>
      <c r="AF45">
        <f t="shared" si="11"/>
        <v>34</v>
      </c>
      <c r="AG45">
        <f t="shared" si="12"/>
        <v>50</v>
      </c>
      <c r="AH45" s="48">
        <v>0.42</v>
      </c>
      <c r="AI45">
        <v>41.666670000000003</v>
      </c>
      <c r="AJ45">
        <v>25.514099999999999</v>
      </c>
      <c r="AK45">
        <v>59.243480000000005</v>
      </c>
      <c r="AL45">
        <f t="shared" si="13"/>
        <v>16.152570000000004</v>
      </c>
      <c r="AM45">
        <f t="shared" si="14"/>
        <v>17.576810000000002</v>
      </c>
      <c r="AN45">
        <v>23</v>
      </c>
    </row>
    <row r="46" spans="1:40" x14ac:dyDescent="0.25">
      <c r="A46" s="5" t="s">
        <v>433</v>
      </c>
      <c r="B46" t="s">
        <v>353</v>
      </c>
      <c r="C46" s="5">
        <v>18</v>
      </c>
      <c r="D46" s="5">
        <v>10</v>
      </c>
      <c r="E46" s="86">
        <v>1</v>
      </c>
      <c r="F46" s="86">
        <v>1</v>
      </c>
      <c r="G46" s="86">
        <v>1</v>
      </c>
      <c r="H46" s="86">
        <v>1</v>
      </c>
      <c r="I46" s="51">
        <f t="shared" si="15"/>
        <v>8</v>
      </c>
      <c r="J46" s="86">
        <v>0.55555555555555558</v>
      </c>
      <c r="K46" s="86">
        <v>0.44444444444444442</v>
      </c>
      <c r="L46" s="5" t="s">
        <v>193</v>
      </c>
      <c r="M46" s="5" t="s">
        <v>434</v>
      </c>
      <c r="N46" s="50">
        <v>1.5082450000000001</v>
      </c>
      <c r="O46" t="str">
        <f t="shared" si="16"/>
        <v>RNN</v>
      </c>
      <c r="P46" s="22">
        <f t="shared" si="17"/>
        <v>4</v>
      </c>
      <c r="Q46" s="22">
        <f t="shared" si="18"/>
        <v>4</v>
      </c>
      <c r="R46" s="22">
        <f t="shared" si="19"/>
        <v>4</v>
      </c>
      <c r="S46" s="22">
        <f t="shared" si="20"/>
        <v>4</v>
      </c>
      <c r="T46" s="40" t="e">
        <f>IF(#REF!=4, RANK(H46,H$8:H$81,1)+COUNTIF($H$8:H46,H46)-1, IF(#REF!=3, RANK(G46,G$8:G$81,1)+COUNTIF($G$8:G46,G46)-1, IF(#REF!=2, RANK(F46,F$8:F$81,1)+COUNTIF($F$8:F46,F46)-1, IF(#REF!=1, RANK(E46,E$8:E$81,1)+COUNTIF($E$8:E46,E46)-1))))</f>
        <v>#REF!</v>
      </c>
      <c r="U46" s="28" t="e">
        <f>IF(#REF!=4, H46, IF(#REF!=3, G46, IF(#REF!=2, F46, IF(#REF!=1, E46))))</f>
        <v>#REF!</v>
      </c>
      <c r="V46">
        <f t="shared" si="21"/>
        <v>38</v>
      </c>
      <c r="W46" s="9">
        <f t="shared" si="8"/>
        <v>55.555555555555557</v>
      </c>
      <c r="X46">
        <v>30.757159999999999</v>
      </c>
      <c r="Y46">
        <v>78.469849999999994</v>
      </c>
      <c r="Z46">
        <f t="shared" si="9"/>
        <v>24.798395555555558</v>
      </c>
      <c r="AA46">
        <f t="shared" si="10"/>
        <v>47.712689999999995</v>
      </c>
      <c r="AB46" t="s">
        <v>536</v>
      </c>
      <c r="AC46">
        <v>83</v>
      </c>
      <c r="AD46">
        <v>49</v>
      </c>
      <c r="AE46">
        <v>117</v>
      </c>
      <c r="AF46">
        <f t="shared" si="11"/>
        <v>34</v>
      </c>
      <c r="AG46">
        <f t="shared" si="12"/>
        <v>34</v>
      </c>
      <c r="AH46" s="48">
        <v>0.28000000000000003</v>
      </c>
      <c r="AI46">
        <v>27.777780000000003</v>
      </c>
      <c r="AJ46">
        <v>9.6949199999999998</v>
      </c>
      <c r="AK46">
        <v>53.480199999999996</v>
      </c>
      <c r="AL46">
        <f t="shared" si="13"/>
        <v>18.082860000000004</v>
      </c>
      <c r="AM46">
        <f t="shared" si="14"/>
        <v>25.702419999999993</v>
      </c>
      <c r="AN46">
        <v>29</v>
      </c>
    </row>
    <row r="47" spans="1:40" x14ac:dyDescent="0.25">
      <c r="A47" s="5" t="s">
        <v>66</v>
      </c>
      <c r="B47" s="74" t="s">
        <v>67</v>
      </c>
      <c r="C47" s="5">
        <v>41</v>
      </c>
      <c r="D47" s="5">
        <v>16</v>
      </c>
      <c r="E47" s="86">
        <v>0.9512195</v>
      </c>
      <c r="F47" s="86">
        <v>0.9512195</v>
      </c>
      <c r="G47" s="86">
        <v>0.94594590000000001</v>
      </c>
      <c r="H47" s="86">
        <v>0.92682929999999997</v>
      </c>
      <c r="I47" s="51">
        <f t="shared" si="15"/>
        <v>25</v>
      </c>
      <c r="J47" s="86">
        <v>0.3902439024390244</v>
      </c>
      <c r="K47" s="86">
        <v>0.6097560975609756</v>
      </c>
      <c r="L47" s="5" t="s">
        <v>435</v>
      </c>
      <c r="M47" s="5" t="s">
        <v>170</v>
      </c>
      <c r="N47" s="50">
        <v>1.94313</v>
      </c>
      <c r="O47" t="str">
        <f t="shared" si="16"/>
        <v>RNS</v>
      </c>
      <c r="P47" s="22">
        <f t="shared" si="17"/>
        <v>3</v>
      </c>
      <c r="Q47" s="22">
        <f t="shared" si="18"/>
        <v>1</v>
      </c>
      <c r="R47" s="22">
        <f t="shared" si="19"/>
        <v>2</v>
      </c>
      <c r="S47" s="22">
        <f t="shared" si="20"/>
        <v>3</v>
      </c>
      <c r="T47" s="40" t="e">
        <f>IF(#REF!=4, RANK(H47,H$8:H$81,1)+COUNTIF($H$8:H47,H47)-1, IF(#REF!=3, RANK(G47,G$8:G$81,1)+COUNTIF($G$8:G47,G47)-1, IF(#REF!=2, RANK(F47,F$8:F$81,1)+COUNTIF($F$8:F47,F47)-1, IF(#REF!=1, RANK(E47,E$8:E$81,1)+COUNTIF($E$8:E47,E47)-1))))</f>
        <v>#REF!</v>
      </c>
      <c r="U47" s="28" t="e">
        <f>IF(#REF!=4, H47, IF(#REF!=3, G47, IF(#REF!=2, F47, IF(#REF!=1, E47))))</f>
        <v>#REF!</v>
      </c>
      <c r="V47">
        <f t="shared" si="21"/>
        <v>58</v>
      </c>
      <c r="W47" s="9">
        <f t="shared" si="8"/>
        <v>39.024390243902438</v>
      </c>
      <c r="X47">
        <v>24.2011</v>
      </c>
      <c r="Y47">
        <v>55.495220000000003</v>
      </c>
      <c r="Z47">
        <f t="shared" si="9"/>
        <v>14.823290243902438</v>
      </c>
      <c r="AA47">
        <f t="shared" si="10"/>
        <v>31.294120000000003</v>
      </c>
      <c r="AB47" t="s">
        <v>537</v>
      </c>
      <c r="AC47">
        <v>82</v>
      </c>
      <c r="AD47">
        <v>54</v>
      </c>
      <c r="AE47">
        <v>147</v>
      </c>
      <c r="AF47">
        <f t="shared" si="11"/>
        <v>28</v>
      </c>
      <c r="AG47">
        <f t="shared" si="12"/>
        <v>65</v>
      </c>
      <c r="AH47" s="48">
        <v>0.26</v>
      </c>
      <c r="AI47">
        <v>25.641029999999997</v>
      </c>
      <c r="AJ47">
        <v>13.037679999999998</v>
      </c>
      <c r="AK47">
        <v>42.127389999999998</v>
      </c>
      <c r="AL47">
        <f t="shared" si="13"/>
        <v>12.603349999999999</v>
      </c>
      <c r="AM47">
        <f t="shared" si="14"/>
        <v>16.486360000000001</v>
      </c>
      <c r="AN47">
        <v>28</v>
      </c>
    </row>
    <row r="48" spans="1:40" x14ac:dyDescent="0.25">
      <c r="A48" s="5" t="s">
        <v>429</v>
      </c>
      <c r="B48" s="74" t="s">
        <v>430</v>
      </c>
      <c r="C48" s="5">
        <v>56</v>
      </c>
      <c r="D48" s="5">
        <v>47</v>
      </c>
      <c r="E48" s="86">
        <v>0.94642859999999995</v>
      </c>
      <c r="F48" s="86">
        <v>0.96428570000000002</v>
      </c>
      <c r="G48" s="86">
        <v>0.95918369999999997</v>
      </c>
      <c r="H48" s="86">
        <v>0.94642859999999995</v>
      </c>
      <c r="I48" s="51">
        <f t="shared" si="15"/>
        <v>9</v>
      </c>
      <c r="J48" s="86">
        <v>0.8392857142857143</v>
      </c>
      <c r="K48" s="86">
        <v>0.16071428571428573</v>
      </c>
      <c r="L48" s="5" t="s">
        <v>165</v>
      </c>
      <c r="M48" s="5" t="s">
        <v>431</v>
      </c>
      <c r="N48" s="50">
        <v>1.229759</v>
      </c>
      <c r="O48" t="str">
        <f t="shared" si="16"/>
        <v>RM3</v>
      </c>
      <c r="P48" s="22">
        <f t="shared" si="17"/>
        <v>2</v>
      </c>
      <c r="Q48" s="22">
        <f t="shared" si="18"/>
        <v>1</v>
      </c>
      <c r="R48" s="22">
        <f t="shared" si="19"/>
        <v>3</v>
      </c>
      <c r="S48" s="22">
        <f t="shared" si="20"/>
        <v>3</v>
      </c>
      <c r="T48" s="40" t="e">
        <f>IF(#REF!=4, RANK(H48,H$8:H$81,1)+COUNTIF($H$8:H48,H48)-1, IF(#REF!=3, RANK(G48,G$8:G$81,1)+COUNTIF($G$8:G48,G48)-1, IF(#REF!=2, RANK(F48,F$8:F$81,1)+COUNTIF($F$8:F48,F48)-1, IF(#REF!=1, RANK(E48,E$8:E$81,1)+COUNTIF($E$8:E48,E48)-1))))</f>
        <v>#REF!</v>
      </c>
      <c r="U48" s="28" t="e">
        <f>IF(#REF!=4, H48, IF(#REF!=3, G48, IF(#REF!=2, F48, IF(#REF!=1, E48))))</f>
        <v>#REF!</v>
      </c>
      <c r="V48">
        <f t="shared" si="21"/>
        <v>11</v>
      </c>
      <c r="W48" s="9">
        <f t="shared" si="8"/>
        <v>83.928571428571431</v>
      </c>
      <c r="X48">
        <v>71.672029999999992</v>
      </c>
      <c r="Y48">
        <v>92.378129999999999</v>
      </c>
      <c r="Z48">
        <f t="shared" si="9"/>
        <v>12.256541428571438</v>
      </c>
      <c r="AA48">
        <f t="shared" si="10"/>
        <v>20.706100000000006</v>
      </c>
      <c r="AB48" t="s">
        <v>538</v>
      </c>
      <c r="AC48">
        <v>66</v>
      </c>
      <c r="AD48">
        <v>34</v>
      </c>
      <c r="AE48">
        <v>101</v>
      </c>
      <c r="AF48">
        <f t="shared" si="11"/>
        <v>32</v>
      </c>
      <c r="AG48">
        <f t="shared" si="12"/>
        <v>35</v>
      </c>
      <c r="AH48" s="48">
        <v>0.43</v>
      </c>
      <c r="AI48">
        <v>43.396230000000003</v>
      </c>
      <c r="AJ48">
        <v>29.839209999999998</v>
      </c>
      <c r="AK48">
        <v>57.717419999999997</v>
      </c>
      <c r="AL48">
        <f t="shared" si="13"/>
        <v>13.557020000000005</v>
      </c>
      <c r="AM48">
        <f t="shared" si="14"/>
        <v>14.321189999999994</v>
      </c>
      <c r="AN48">
        <v>12</v>
      </c>
    </row>
    <row r="49" spans="1:40" x14ac:dyDescent="0.25">
      <c r="A49" s="5" t="s">
        <v>109</v>
      </c>
      <c r="B49" s="74" t="s">
        <v>110</v>
      </c>
      <c r="C49" s="5">
        <v>30</v>
      </c>
      <c r="D49" s="5">
        <v>18</v>
      </c>
      <c r="E49" s="86">
        <v>0.7</v>
      </c>
      <c r="F49" s="86">
        <v>1</v>
      </c>
      <c r="G49" s="86">
        <v>0.74074070000000003</v>
      </c>
      <c r="H49" s="86">
        <v>0.7</v>
      </c>
      <c r="I49" s="51">
        <f t="shared" si="15"/>
        <v>12</v>
      </c>
      <c r="J49" s="86">
        <v>0.6</v>
      </c>
      <c r="K49" s="86">
        <v>0.4</v>
      </c>
      <c r="L49" s="5" t="s">
        <v>187</v>
      </c>
      <c r="M49" s="5" t="s">
        <v>317</v>
      </c>
      <c r="N49" s="50">
        <v>2.5639820000000002</v>
      </c>
      <c r="O49" t="str">
        <f t="shared" si="16"/>
        <v>RX1</v>
      </c>
      <c r="P49" s="22">
        <f t="shared" si="17"/>
        <v>1</v>
      </c>
      <c r="Q49" s="22">
        <f t="shared" si="18"/>
        <v>4</v>
      </c>
      <c r="R49" s="22">
        <f t="shared" si="19"/>
        <v>1</v>
      </c>
      <c r="S49" s="22">
        <f t="shared" si="20"/>
        <v>1</v>
      </c>
      <c r="T49" s="40" t="e">
        <f>IF(#REF!=4, RANK(H49,H$8:H$81,1)+COUNTIF($H$8:H49,H49)-1, IF(#REF!=3, RANK(G49,G$8:G$81,1)+COUNTIF($G$8:G49,G49)-1, IF(#REF!=2, RANK(F49,F$8:F$81,1)+COUNTIF($F$8:F49,F49)-1, IF(#REF!=1, RANK(E49,E$8:E$81,1)+COUNTIF($E$8:E49,E49)-1))))</f>
        <v>#REF!</v>
      </c>
      <c r="U49" s="28" t="e">
        <f>IF(#REF!=4, H49, IF(#REF!=3, G49, IF(#REF!=2, F49, IF(#REF!=1, E49))))</f>
        <v>#REF!</v>
      </c>
      <c r="V49">
        <f t="shared" si="21"/>
        <v>31</v>
      </c>
      <c r="W49" s="9">
        <f t="shared" si="8"/>
        <v>60</v>
      </c>
      <c r="X49">
        <v>40.603490000000001</v>
      </c>
      <c r="Y49">
        <v>77.344229999999996</v>
      </c>
      <c r="Z49">
        <f t="shared" si="9"/>
        <v>19.396509999999999</v>
      </c>
      <c r="AA49">
        <f t="shared" si="10"/>
        <v>36.740739999999995</v>
      </c>
      <c r="AB49" t="s">
        <v>539</v>
      </c>
      <c r="AC49">
        <v>71</v>
      </c>
      <c r="AD49">
        <v>48</v>
      </c>
      <c r="AE49">
        <v>98</v>
      </c>
      <c r="AF49">
        <f t="shared" si="11"/>
        <v>23</v>
      </c>
      <c r="AG49">
        <f t="shared" si="12"/>
        <v>27</v>
      </c>
      <c r="AH49" s="48">
        <v>0.38</v>
      </c>
      <c r="AI49">
        <v>38.095240000000004</v>
      </c>
      <c r="AJ49">
        <v>18.10716</v>
      </c>
      <c r="AK49">
        <v>61.56456</v>
      </c>
      <c r="AL49">
        <f t="shared" si="13"/>
        <v>19.988080000000004</v>
      </c>
      <c r="AM49">
        <f t="shared" si="14"/>
        <v>23.469319999999996</v>
      </c>
      <c r="AN49">
        <v>17</v>
      </c>
    </row>
    <row r="50" spans="1:40" x14ac:dyDescent="0.25">
      <c r="A50" s="5" t="s">
        <v>88</v>
      </c>
      <c r="B50" s="74" t="s">
        <v>298</v>
      </c>
      <c r="C50" s="5">
        <v>60</v>
      </c>
      <c r="D50" s="5">
        <v>24</v>
      </c>
      <c r="E50" s="86">
        <v>0.9</v>
      </c>
      <c r="F50" s="86">
        <v>0.95</v>
      </c>
      <c r="G50" s="86">
        <v>0.90740739999999998</v>
      </c>
      <c r="H50" s="86">
        <v>0.75</v>
      </c>
      <c r="I50" s="51">
        <f t="shared" si="15"/>
        <v>36</v>
      </c>
      <c r="J50" s="86">
        <v>0.4</v>
      </c>
      <c r="K50" s="86">
        <v>0.6</v>
      </c>
      <c r="L50" s="5" t="s">
        <v>189</v>
      </c>
      <c r="M50" s="5" t="s">
        <v>167</v>
      </c>
      <c r="N50" s="50">
        <v>0</v>
      </c>
      <c r="O50" t="str">
        <f t="shared" si="16"/>
        <v>RTH</v>
      </c>
      <c r="P50" s="22">
        <f t="shared" si="17"/>
        <v>2</v>
      </c>
      <c r="Q50" s="22">
        <f t="shared" si="18"/>
        <v>1</v>
      </c>
      <c r="R50" s="22">
        <f t="shared" si="19"/>
        <v>2</v>
      </c>
      <c r="S50" s="22">
        <f t="shared" si="20"/>
        <v>1</v>
      </c>
      <c r="T50" s="40" t="e">
        <f>IF(#REF!=4, RANK(H50,H$8:H$81,1)+COUNTIF($H$8:H50,H50)-1, IF(#REF!=3, RANK(G50,G$8:G$81,1)+COUNTIF($G$8:G50,G50)-1, IF(#REF!=2, RANK(F50,F$8:F$81,1)+COUNTIF($F$8:F50,F50)-1, IF(#REF!=1, RANK(E50,E$8:E$81,1)+COUNTIF($E$8:E50,E50)-1))))</f>
        <v>#REF!</v>
      </c>
      <c r="U50" s="28" t="e">
        <f>IF(#REF!=4, H50, IF(#REF!=3, G50, IF(#REF!=2, F50, IF(#REF!=1, E50))))</f>
        <v>#REF!</v>
      </c>
      <c r="V50">
        <f t="shared" si="21"/>
        <v>57</v>
      </c>
      <c r="W50" s="9">
        <f t="shared" si="8"/>
        <v>40</v>
      </c>
      <c r="X50">
        <v>27.562160000000002</v>
      </c>
      <c r="Y50">
        <v>53.459449999999997</v>
      </c>
      <c r="Z50">
        <f t="shared" si="9"/>
        <v>12.437839999999998</v>
      </c>
      <c r="AA50">
        <f t="shared" si="10"/>
        <v>25.897289999999995</v>
      </c>
      <c r="AB50" t="s">
        <v>540</v>
      </c>
      <c r="AC50">
        <v>126</v>
      </c>
      <c r="AD50">
        <v>59</v>
      </c>
      <c r="AE50">
        <v>222</v>
      </c>
      <c r="AF50">
        <f t="shared" si="11"/>
        <v>67</v>
      </c>
      <c r="AG50">
        <f t="shared" si="12"/>
        <v>96</v>
      </c>
      <c r="AH50" s="48">
        <v>0.24</v>
      </c>
      <c r="AI50">
        <v>24.074069999999999</v>
      </c>
      <c r="AJ50">
        <v>13.48634</v>
      </c>
      <c r="AK50">
        <v>37.640520000000002</v>
      </c>
      <c r="AL50">
        <f t="shared" si="13"/>
        <v>10.587729999999999</v>
      </c>
      <c r="AM50">
        <f t="shared" si="14"/>
        <v>13.566450000000003</v>
      </c>
      <c r="AN50">
        <v>49</v>
      </c>
    </row>
    <row r="51" spans="1:40" x14ac:dyDescent="0.25">
      <c r="A51" s="5" t="s">
        <v>71</v>
      </c>
      <c r="B51" s="74" t="s">
        <v>72</v>
      </c>
      <c r="C51" s="5">
        <v>7</v>
      </c>
      <c r="D51" s="5">
        <v>7</v>
      </c>
      <c r="E51" s="86">
        <v>1</v>
      </c>
      <c r="F51" s="86">
        <v>1</v>
      </c>
      <c r="G51" s="86">
        <v>1</v>
      </c>
      <c r="H51" s="86">
        <v>1</v>
      </c>
      <c r="I51" s="51">
        <f t="shared" si="15"/>
        <v>0</v>
      </c>
      <c r="J51" s="86">
        <v>1</v>
      </c>
      <c r="K51" s="86">
        <v>0</v>
      </c>
      <c r="L51" s="5" t="s">
        <v>189</v>
      </c>
      <c r="M51" s="5" t="s">
        <v>411</v>
      </c>
      <c r="N51" s="50">
        <v>0</v>
      </c>
      <c r="O51" t="str">
        <f t="shared" si="16"/>
        <v>RQW</v>
      </c>
      <c r="P51" s="22">
        <f t="shared" si="17"/>
        <v>4</v>
      </c>
      <c r="Q51" s="22">
        <f t="shared" si="18"/>
        <v>4</v>
      </c>
      <c r="R51" s="22">
        <f t="shared" si="19"/>
        <v>4</v>
      </c>
      <c r="S51" s="22">
        <f t="shared" si="20"/>
        <v>4</v>
      </c>
      <c r="T51" s="40" t="e">
        <f>IF(#REF!=4, RANK(H51,H$8:H$81,1)+COUNTIF($H$8:H51,H51)-1, IF(#REF!=3, RANK(G51,G$8:G$81,1)+COUNTIF($G$8:G51,G51)-1, IF(#REF!=2, RANK(F51,F$8:F$81,1)+COUNTIF($F$8:F51,F51)-1, IF(#REF!=1, RANK(E51,E$8:E$81,1)+COUNTIF($E$8:E51,E51)-1))))</f>
        <v>#REF!</v>
      </c>
      <c r="U51" s="28" t="e">
        <f>IF(#REF!=4, H51, IF(#REF!=3, G51, IF(#REF!=2, F51, IF(#REF!=1, E51))))</f>
        <v>#REF!</v>
      </c>
      <c r="V51">
        <f t="shared" si="21"/>
        <v>1</v>
      </c>
      <c r="W51" s="9">
        <f t="shared" si="8"/>
        <v>100</v>
      </c>
      <c r="X51" t="e">
        <v>#N/A</v>
      </c>
      <c r="Y51" t="e">
        <v>#N/A</v>
      </c>
      <c r="Z51" t="e">
        <f t="shared" si="9"/>
        <v>#N/A</v>
      </c>
      <c r="AA51" t="e">
        <f t="shared" si="10"/>
        <v>#N/A</v>
      </c>
      <c r="AB51" t="e">
        <v>#N/A</v>
      </c>
      <c r="AC51" t="e">
        <v>#N/A</v>
      </c>
      <c r="AD51" t="e">
        <v>#N/A</v>
      </c>
      <c r="AE51" t="e">
        <v>#N/A</v>
      </c>
      <c r="AF51" t="e">
        <f t="shared" si="11"/>
        <v>#N/A</v>
      </c>
      <c r="AG51" t="e">
        <f t="shared" si="12"/>
        <v>#N/A</v>
      </c>
      <c r="AH51" t="e">
        <v>#N/A</v>
      </c>
      <c r="AI51" t="e">
        <v>#N/A</v>
      </c>
      <c r="AJ51" t="e">
        <v>#N/A</v>
      </c>
      <c r="AK51" t="e">
        <v>#N/A</v>
      </c>
      <c r="AL51" t="e">
        <f t="shared" si="13"/>
        <v>#N/A</v>
      </c>
      <c r="AM51" t="e">
        <f t="shared" si="14"/>
        <v>#N/A</v>
      </c>
      <c r="AN51" t="e">
        <v>#N/A</v>
      </c>
    </row>
    <row r="52" spans="1:40" x14ac:dyDescent="0.25">
      <c r="A52" s="5" t="s">
        <v>81</v>
      </c>
      <c r="B52" s="74" t="s">
        <v>82</v>
      </c>
      <c r="C52" s="5">
        <v>5</v>
      </c>
      <c r="D52" s="5">
        <v>3</v>
      </c>
      <c r="E52" s="86">
        <v>1</v>
      </c>
      <c r="F52" s="86">
        <v>1</v>
      </c>
      <c r="G52" s="86">
        <v>1</v>
      </c>
      <c r="H52" s="86">
        <v>1</v>
      </c>
      <c r="I52" s="51">
        <f t="shared" si="15"/>
        <v>2</v>
      </c>
      <c r="J52" s="86">
        <v>0.6</v>
      </c>
      <c r="K52" s="86">
        <v>0.4</v>
      </c>
      <c r="L52" s="5" t="s">
        <v>438</v>
      </c>
      <c r="M52" s="5" t="s">
        <v>439</v>
      </c>
      <c r="N52" s="50">
        <v>0</v>
      </c>
      <c r="O52" t="str">
        <f t="shared" si="16"/>
        <v>RT3</v>
      </c>
      <c r="P52" s="22">
        <f t="shared" si="17"/>
        <v>4</v>
      </c>
      <c r="Q52" s="22">
        <f t="shared" si="18"/>
        <v>4</v>
      </c>
      <c r="R52" s="22">
        <f t="shared" si="19"/>
        <v>4</v>
      </c>
      <c r="S52" s="22">
        <f t="shared" si="20"/>
        <v>4</v>
      </c>
      <c r="T52" s="40" t="e">
        <f>IF(#REF!=4, RANK(H52,H$8:H$81,1)+COUNTIF($H$8:H52,H52)-1, IF(#REF!=3, RANK(G52,G$8:G$81,1)+COUNTIF($G$8:G52,G52)-1, IF(#REF!=2, RANK(F52,F$8:F$81,1)+COUNTIF($F$8:F52,F52)-1, IF(#REF!=1, RANK(E52,E$8:E$81,1)+COUNTIF($E$8:E52,E52)-1))))</f>
        <v>#REF!</v>
      </c>
      <c r="U52" s="28" t="e">
        <f>IF(#REF!=4, H52, IF(#REF!=3, G52, IF(#REF!=2, F52, IF(#REF!=1, E52))))</f>
        <v>#REF!</v>
      </c>
      <c r="V52">
        <f t="shared" si="21"/>
        <v>31</v>
      </c>
      <c r="W52" s="9">
        <f t="shared" si="8"/>
        <v>60</v>
      </c>
      <c r="X52" t="e">
        <v>#N/A</v>
      </c>
      <c r="Y52" t="e">
        <v>#N/A</v>
      </c>
      <c r="Z52" t="e">
        <f t="shared" si="9"/>
        <v>#N/A</v>
      </c>
      <c r="AA52" t="e">
        <f t="shared" si="10"/>
        <v>#N/A</v>
      </c>
      <c r="AB52" t="e">
        <v>#N/A</v>
      </c>
      <c r="AC52" t="e">
        <v>#N/A</v>
      </c>
      <c r="AD52" t="e">
        <v>#N/A</v>
      </c>
      <c r="AE52" t="e">
        <v>#N/A</v>
      </c>
      <c r="AF52" t="e">
        <f t="shared" si="11"/>
        <v>#N/A</v>
      </c>
      <c r="AG52" t="e">
        <f t="shared" si="12"/>
        <v>#N/A</v>
      </c>
      <c r="AH52" t="e">
        <v>#N/A</v>
      </c>
      <c r="AI52" t="e">
        <v>#N/A</v>
      </c>
      <c r="AJ52" t="e">
        <v>#N/A</v>
      </c>
      <c r="AK52" t="e">
        <v>#N/A</v>
      </c>
      <c r="AL52" t="e">
        <f t="shared" si="13"/>
        <v>#N/A</v>
      </c>
      <c r="AM52" t="e">
        <f t="shared" si="14"/>
        <v>#N/A</v>
      </c>
      <c r="AN52" t="e">
        <v>#N/A</v>
      </c>
    </row>
    <row r="53" spans="1:40" x14ac:dyDescent="0.25">
      <c r="A53" s="5" t="s">
        <v>27</v>
      </c>
      <c r="B53" s="74" t="s">
        <v>28</v>
      </c>
      <c r="C53" s="5">
        <v>13</v>
      </c>
      <c r="D53" s="5">
        <v>5</v>
      </c>
      <c r="E53" s="86">
        <v>0.92307689999999998</v>
      </c>
      <c r="F53" s="86">
        <v>1</v>
      </c>
      <c r="G53" s="86">
        <v>0.9</v>
      </c>
      <c r="H53" s="86">
        <v>0.92307689999999998</v>
      </c>
      <c r="I53" s="51">
        <f t="shared" si="15"/>
        <v>8</v>
      </c>
      <c r="J53" s="86">
        <v>0.38461538461538464</v>
      </c>
      <c r="K53" s="86">
        <v>0.61538461538461542</v>
      </c>
      <c r="L53" s="5" t="s">
        <v>176</v>
      </c>
      <c r="M53" s="5" t="s">
        <v>421</v>
      </c>
      <c r="N53" s="50">
        <v>0</v>
      </c>
      <c r="O53" t="str">
        <f t="shared" si="16"/>
        <v>REF</v>
      </c>
      <c r="P53" s="22">
        <f t="shared" si="17"/>
        <v>2</v>
      </c>
      <c r="Q53" s="22">
        <f t="shared" si="18"/>
        <v>4</v>
      </c>
      <c r="R53" s="22">
        <f t="shared" si="19"/>
        <v>2</v>
      </c>
      <c r="S53" s="22">
        <f t="shared" si="20"/>
        <v>3</v>
      </c>
      <c r="T53" s="40" t="e">
        <f>IF(#REF!=4, RANK(H53,H$8:H$81,1)+COUNTIF($H$8:H53,H53)-1, IF(#REF!=3, RANK(G53,G$8:G$81,1)+COUNTIF($G$8:G53,G53)-1, IF(#REF!=2, RANK(F53,F$8:F$81,1)+COUNTIF($F$8:F53,F53)-1, IF(#REF!=1, RANK(E53,E$8:E$81,1)+COUNTIF($E$8:E53,E53)-1))))</f>
        <v>#REF!</v>
      </c>
      <c r="U53" s="28" t="e">
        <f>IF(#REF!=4, H53, IF(#REF!=3, G53, IF(#REF!=2, F53, IF(#REF!=1, E53))))</f>
        <v>#REF!</v>
      </c>
      <c r="V53">
        <f t="shared" si="21"/>
        <v>61</v>
      </c>
      <c r="W53" s="9">
        <f t="shared" si="8"/>
        <v>38.461538461538467</v>
      </c>
      <c r="X53">
        <v>13.85793</v>
      </c>
      <c r="Y53">
        <v>68.422240000000002</v>
      </c>
      <c r="Z53">
        <f t="shared" si="9"/>
        <v>24.603608461538467</v>
      </c>
      <c r="AA53">
        <f t="shared" si="10"/>
        <v>54.564310000000006</v>
      </c>
      <c r="AB53" t="s">
        <v>541</v>
      </c>
      <c r="AC53">
        <v>69</v>
      </c>
      <c r="AD53">
        <v>37</v>
      </c>
      <c r="AE53">
        <v>130</v>
      </c>
      <c r="AF53">
        <f t="shared" si="11"/>
        <v>32</v>
      </c>
      <c r="AG53">
        <f t="shared" si="12"/>
        <v>61</v>
      </c>
      <c r="AH53" s="48">
        <v>0.33</v>
      </c>
      <c r="AI53">
        <v>33.333329999999997</v>
      </c>
      <c r="AJ53">
        <v>9.9246100000000013</v>
      </c>
      <c r="AK53">
        <v>65.112449999999995</v>
      </c>
      <c r="AL53">
        <f t="shared" si="13"/>
        <v>23.408719999999995</v>
      </c>
      <c r="AM53">
        <f t="shared" si="14"/>
        <v>31.779119999999999</v>
      </c>
      <c r="AN53">
        <v>16</v>
      </c>
    </row>
    <row r="54" spans="1:40" x14ac:dyDescent="0.25">
      <c r="A54" s="5" t="s">
        <v>37</v>
      </c>
      <c r="B54" s="74" t="s">
        <v>38</v>
      </c>
      <c r="C54" s="5">
        <v>26</v>
      </c>
      <c r="D54" s="5">
        <v>2</v>
      </c>
      <c r="E54" s="86">
        <v>0.96153840000000002</v>
      </c>
      <c r="F54" s="86">
        <v>1</v>
      </c>
      <c r="G54" s="86">
        <v>0.95238100000000003</v>
      </c>
      <c r="H54" s="86">
        <v>0.92307689999999998</v>
      </c>
      <c r="I54" s="51">
        <f t="shared" si="15"/>
        <v>24</v>
      </c>
      <c r="J54" s="86">
        <v>7.6923076923076927E-2</v>
      </c>
      <c r="K54" s="86">
        <v>0.92307692307692313</v>
      </c>
      <c r="L54" s="5" t="s">
        <v>422</v>
      </c>
      <c r="M54" s="5" t="s">
        <v>423</v>
      </c>
      <c r="N54" s="50">
        <v>3.6351059999999999</v>
      </c>
      <c r="O54" t="str">
        <f t="shared" si="16"/>
        <v>RH8</v>
      </c>
      <c r="P54" s="22">
        <f t="shared" si="17"/>
        <v>3</v>
      </c>
      <c r="Q54" s="22">
        <f t="shared" si="18"/>
        <v>4</v>
      </c>
      <c r="R54" s="22">
        <f t="shared" si="19"/>
        <v>2</v>
      </c>
      <c r="S54" s="22">
        <f t="shared" si="20"/>
        <v>3</v>
      </c>
      <c r="T54" s="40" t="e">
        <f>IF(#REF!=4, RANK(H54,H$8:H$81,1)+COUNTIF($H$8:H54,H54)-1, IF(#REF!=3, RANK(G54,G$8:G$81,1)+COUNTIF($G$8:G54,G54)-1, IF(#REF!=2, RANK(F54,F$8:F$81,1)+COUNTIF($F$8:F54,F54)-1, IF(#REF!=1, RANK(E54,E$8:E$81,1)+COUNTIF($E$8:E54,E54)-1))))</f>
        <v>#REF!</v>
      </c>
      <c r="U54" s="28" t="e">
        <f>IF(#REF!=4, H54, IF(#REF!=3, G54, IF(#REF!=2, F54, IF(#REF!=1, E54))))</f>
        <v>#REF!</v>
      </c>
      <c r="V54">
        <f t="shared" si="21"/>
        <v>68</v>
      </c>
      <c r="W54" s="9">
        <f t="shared" si="8"/>
        <v>7.6923076923076925</v>
      </c>
      <c r="X54">
        <v>0.94553999999999994</v>
      </c>
      <c r="Y54">
        <v>25.130289999999999</v>
      </c>
      <c r="Z54">
        <f t="shared" si="9"/>
        <v>6.7467676923076922</v>
      </c>
      <c r="AA54">
        <f t="shared" si="10"/>
        <v>24.184749999999998</v>
      </c>
      <c r="AB54" t="s">
        <v>542</v>
      </c>
      <c r="AC54">
        <v>50</v>
      </c>
      <c r="AD54">
        <v>27</v>
      </c>
      <c r="AE54">
        <v>77</v>
      </c>
      <c r="AF54">
        <f t="shared" si="11"/>
        <v>23</v>
      </c>
      <c r="AG54">
        <f t="shared" si="12"/>
        <v>27</v>
      </c>
      <c r="AH54" s="48">
        <v>0.56000000000000005</v>
      </c>
      <c r="AI54">
        <v>56.000000000000007</v>
      </c>
      <c r="AJ54">
        <v>34.928160000000005</v>
      </c>
      <c r="AK54">
        <v>75.597630000000009</v>
      </c>
      <c r="AL54">
        <f t="shared" si="13"/>
        <v>21.071840000000002</v>
      </c>
      <c r="AM54">
        <f t="shared" si="14"/>
        <v>19.597630000000002</v>
      </c>
      <c r="AN54">
        <v>3</v>
      </c>
    </row>
    <row r="55" spans="1:40" x14ac:dyDescent="0.25">
      <c r="A55" s="5" t="s">
        <v>18</v>
      </c>
      <c r="B55" s="74" t="s">
        <v>19</v>
      </c>
      <c r="C55" s="5">
        <v>32</v>
      </c>
      <c r="D55" s="5">
        <v>20</v>
      </c>
      <c r="E55" s="86">
        <v>0.71875</v>
      </c>
      <c r="F55" s="86">
        <v>0.9375</v>
      </c>
      <c r="G55" s="86">
        <v>0.78260870000000005</v>
      </c>
      <c r="H55" s="86">
        <v>0.59375</v>
      </c>
      <c r="I55" s="51">
        <f t="shared" si="15"/>
        <v>12</v>
      </c>
      <c r="J55" s="86">
        <v>0.625</v>
      </c>
      <c r="K55" s="86">
        <v>0.375</v>
      </c>
      <c r="L55" s="5" t="s">
        <v>186</v>
      </c>
      <c r="M55" s="5" t="s">
        <v>415</v>
      </c>
      <c r="N55" s="50">
        <v>1.0550889999999999</v>
      </c>
      <c r="O55" t="str">
        <f t="shared" si="16"/>
        <v>RAL</v>
      </c>
      <c r="P55" s="22">
        <f t="shared" si="17"/>
        <v>1</v>
      </c>
      <c r="Q55" s="22">
        <f t="shared" si="18"/>
        <v>1</v>
      </c>
      <c r="R55" s="22">
        <f t="shared" si="19"/>
        <v>1</v>
      </c>
      <c r="S55" s="22">
        <f t="shared" si="20"/>
        <v>1</v>
      </c>
      <c r="T55" s="40" t="e">
        <f>IF(#REF!=4, RANK(H55,H$8:H$81,1)+COUNTIF($H$8:H55,H55)-1, IF(#REF!=3, RANK(G55,G$8:G$81,1)+COUNTIF($G$8:G55,G55)-1, IF(#REF!=2, RANK(F55,F$8:F$81,1)+COUNTIF($F$8:F55,F55)-1, IF(#REF!=1, RANK(E55,E$8:E$81,1)+COUNTIF($E$8:E55,E55)-1))))</f>
        <v>#REF!</v>
      </c>
      <c r="U55" s="28" t="e">
        <f>IF(#REF!=4, H55, IF(#REF!=3, G55, IF(#REF!=2, F55, IF(#REF!=1, E55))))</f>
        <v>#REF!</v>
      </c>
      <c r="V55">
        <f t="shared" si="21"/>
        <v>29</v>
      </c>
      <c r="W55" s="9">
        <f t="shared" si="8"/>
        <v>62.5</v>
      </c>
      <c r="X55">
        <v>43.692250000000001</v>
      </c>
      <c r="Y55">
        <v>78.899969999999996</v>
      </c>
      <c r="Z55">
        <f t="shared" si="9"/>
        <v>18.807749999999999</v>
      </c>
      <c r="AA55">
        <f t="shared" si="10"/>
        <v>35.207719999999995</v>
      </c>
      <c r="AB55" t="s">
        <v>543</v>
      </c>
      <c r="AC55">
        <v>64</v>
      </c>
      <c r="AD55">
        <v>40</v>
      </c>
      <c r="AE55">
        <v>108</v>
      </c>
      <c r="AF55">
        <f t="shared" si="11"/>
        <v>24</v>
      </c>
      <c r="AG55">
        <f t="shared" si="12"/>
        <v>44</v>
      </c>
      <c r="AH55" s="48">
        <v>0.43</v>
      </c>
      <c r="AI55">
        <v>43.478259999999999</v>
      </c>
      <c r="AJ55">
        <v>23.191419999999997</v>
      </c>
      <c r="AK55">
        <v>65.505340000000004</v>
      </c>
      <c r="AL55">
        <f t="shared" si="13"/>
        <v>20.286840000000002</v>
      </c>
      <c r="AM55">
        <f t="shared" si="14"/>
        <v>22.027080000000005</v>
      </c>
      <c r="AN55">
        <v>9</v>
      </c>
    </row>
    <row r="56" spans="1:40" x14ac:dyDescent="0.25">
      <c r="A56" s="5" t="s">
        <v>41</v>
      </c>
      <c r="B56" s="74" t="s">
        <v>42</v>
      </c>
      <c r="C56" s="5">
        <v>37</v>
      </c>
      <c r="D56" s="5">
        <v>11</v>
      </c>
      <c r="E56" s="86">
        <v>0.83783779999999997</v>
      </c>
      <c r="F56" s="86">
        <v>0.97297299999999998</v>
      </c>
      <c r="G56" s="86">
        <v>0.83333330000000005</v>
      </c>
      <c r="H56" s="86">
        <v>0.72972970000000004</v>
      </c>
      <c r="I56" s="51">
        <f t="shared" si="15"/>
        <v>26</v>
      </c>
      <c r="J56" s="86">
        <v>0.29729729729729731</v>
      </c>
      <c r="K56" s="86">
        <v>0.70270270270270274</v>
      </c>
      <c r="L56" s="5" t="s">
        <v>187</v>
      </c>
      <c r="M56" s="5" t="s">
        <v>170</v>
      </c>
      <c r="N56" s="50">
        <v>2.166204</v>
      </c>
      <c r="O56" t="str">
        <f t="shared" si="16"/>
        <v>RHQ</v>
      </c>
      <c r="P56" s="22">
        <f t="shared" si="17"/>
        <v>1</v>
      </c>
      <c r="Q56" s="22">
        <f t="shared" si="18"/>
        <v>1</v>
      </c>
      <c r="R56" s="22">
        <f t="shared" si="19"/>
        <v>1</v>
      </c>
      <c r="S56" s="22">
        <f t="shared" si="20"/>
        <v>1</v>
      </c>
      <c r="T56" s="40" t="e">
        <f>IF(#REF!=4, RANK(H56,H$8:H$81,1)+COUNTIF($H$8:H56,H56)-1, IF(#REF!=3, RANK(G56,G$8:G$81,1)+COUNTIF($G$8:G56,G56)-1, IF(#REF!=2, RANK(F56,F$8:F$81,1)+COUNTIF($F$8:F56,F56)-1, IF(#REF!=1, RANK(E56,E$8:E$81,1)+COUNTIF($E$8:E56,E56)-1))))</f>
        <v>#REF!</v>
      </c>
      <c r="U56" s="28" t="e">
        <f>IF(#REF!=4, H56, IF(#REF!=3, G56, IF(#REF!=2, F56, IF(#REF!=1, E56))))</f>
        <v>#REF!</v>
      </c>
      <c r="V56">
        <f t="shared" si="21"/>
        <v>65</v>
      </c>
      <c r="W56" s="9">
        <f t="shared" si="8"/>
        <v>29.72972972972973</v>
      </c>
      <c r="X56">
        <v>15.872539999999999</v>
      </c>
      <c r="Y56">
        <v>46.979949999999995</v>
      </c>
      <c r="Z56">
        <f t="shared" si="9"/>
        <v>13.857189729729731</v>
      </c>
      <c r="AA56">
        <f t="shared" si="10"/>
        <v>31.107409999999994</v>
      </c>
      <c r="AB56" t="s">
        <v>544</v>
      </c>
      <c r="AC56">
        <v>85</v>
      </c>
      <c r="AD56">
        <v>44</v>
      </c>
      <c r="AE56">
        <v>123</v>
      </c>
      <c r="AF56">
        <f t="shared" si="11"/>
        <v>41</v>
      </c>
      <c r="AG56">
        <f t="shared" si="12"/>
        <v>38</v>
      </c>
      <c r="AH56" s="48">
        <v>0.39</v>
      </c>
      <c r="AI56">
        <v>38.709679999999999</v>
      </c>
      <c r="AJ56">
        <v>21.849959999999999</v>
      </c>
      <c r="AK56">
        <v>57.813040000000001</v>
      </c>
      <c r="AL56">
        <f t="shared" si="13"/>
        <v>16.859719999999999</v>
      </c>
      <c r="AM56">
        <f t="shared" si="14"/>
        <v>19.103360000000002</v>
      </c>
      <c r="AN56">
        <v>31</v>
      </c>
    </row>
    <row r="57" spans="1:40" x14ac:dyDescent="0.25">
      <c r="A57" s="5" t="s">
        <v>117</v>
      </c>
      <c r="B57" s="74" t="s">
        <v>118</v>
      </c>
      <c r="C57" s="5">
        <v>25</v>
      </c>
      <c r="D57" s="5">
        <v>13</v>
      </c>
      <c r="E57" s="86">
        <v>0.92</v>
      </c>
      <c r="F57" s="86">
        <v>1</v>
      </c>
      <c r="G57" s="86">
        <v>0.91666669999999995</v>
      </c>
      <c r="H57" s="86">
        <v>1</v>
      </c>
      <c r="I57" s="51">
        <f t="shared" si="15"/>
        <v>12</v>
      </c>
      <c r="J57" s="86">
        <v>0.52</v>
      </c>
      <c r="K57" s="86">
        <v>0.48</v>
      </c>
      <c r="L57" s="5" t="s">
        <v>409</v>
      </c>
      <c r="M57" s="5" t="s">
        <v>205</v>
      </c>
      <c r="N57" s="50">
        <v>0</v>
      </c>
      <c r="O57" t="str">
        <f t="shared" si="16"/>
        <v>RXW</v>
      </c>
      <c r="P57" s="22">
        <f t="shared" si="17"/>
        <v>2</v>
      </c>
      <c r="Q57" s="22">
        <f t="shared" si="18"/>
        <v>4</v>
      </c>
      <c r="R57" s="22">
        <f t="shared" si="19"/>
        <v>2</v>
      </c>
      <c r="S57" s="22">
        <f t="shared" si="20"/>
        <v>4</v>
      </c>
      <c r="T57" s="40" t="e">
        <f>IF(#REF!=4, RANK(H57,H$8:H$81,1)+COUNTIF($H$8:H57,H57)-1, IF(#REF!=3, RANK(G57,G$8:G$81,1)+COUNTIF($G$8:G57,G57)-1, IF(#REF!=2, RANK(F57,F$8:F$81,1)+COUNTIF($F$8:F57,F57)-1, IF(#REF!=1, RANK(E57,E$8:E$81,1)+COUNTIF($E$8:E57,E57)-1))))</f>
        <v>#REF!</v>
      </c>
      <c r="U57" s="28" t="e">
        <f>IF(#REF!=4, H57, IF(#REF!=3, G57, IF(#REF!=2, F57, IF(#REF!=1, E57))))</f>
        <v>#REF!</v>
      </c>
      <c r="V57">
        <f t="shared" si="21"/>
        <v>45</v>
      </c>
      <c r="W57" s="9">
        <f t="shared" si="8"/>
        <v>52</v>
      </c>
      <c r="X57">
        <v>31.305699999999998</v>
      </c>
      <c r="Y57">
        <v>72.203199999999995</v>
      </c>
      <c r="Z57">
        <f t="shared" si="9"/>
        <v>20.694300000000002</v>
      </c>
      <c r="AA57">
        <f t="shared" si="10"/>
        <v>40.897499999999994</v>
      </c>
      <c r="AB57" t="s">
        <v>545</v>
      </c>
      <c r="AC57">
        <v>167</v>
      </c>
      <c r="AD57">
        <v>115</v>
      </c>
      <c r="AE57">
        <v>309</v>
      </c>
      <c r="AF57">
        <f t="shared" si="11"/>
        <v>52</v>
      </c>
      <c r="AG57">
        <f t="shared" si="12"/>
        <v>142</v>
      </c>
      <c r="AH57" s="48">
        <v>0.09</v>
      </c>
      <c r="AI57">
        <v>8.6956500000000005</v>
      </c>
      <c r="AJ57">
        <v>1.0710000000000002</v>
      </c>
      <c r="AK57">
        <v>28.037929999999999</v>
      </c>
      <c r="AL57">
        <f t="shared" si="13"/>
        <v>7.6246500000000008</v>
      </c>
      <c r="AM57">
        <f t="shared" si="14"/>
        <v>19.342279999999999</v>
      </c>
      <c r="AN57">
        <v>60</v>
      </c>
    </row>
    <row r="58" spans="1:40" x14ac:dyDescent="0.25">
      <c r="A58" s="5" t="s">
        <v>348</v>
      </c>
      <c r="B58" s="74" t="s">
        <v>349</v>
      </c>
      <c r="C58" s="5">
        <v>58</v>
      </c>
      <c r="D58" s="5">
        <v>27</v>
      </c>
      <c r="E58" s="86">
        <v>0.98275860000000004</v>
      </c>
      <c r="F58" s="86">
        <v>1</v>
      </c>
      <c r="G58" s="86">
        <v>0.98076920000000001</v>
      </c>
      <c r="H58" s="86">
        <v>1</v>
      </c>
      <c r="I58" s="51">
        <f t="shared" si="15"/>
        <v>31</v>
      </c>
      <c r="J58" s="86">
        <v>0.46551724137931033</v>
      </c>
      <c r="K58" s="86">
        <v>0.53448275862068961</v>
      </c>
      <c r="L58" s="5" t="s">
        <v>189</v>
      </c>
      <c r="M58" s="5" t="s">
        <v>203</v>
      </c>
      <c r="N58" s="50">
        <v>1.2638879999999999</v>
      </c>
      <c r="O58" t="str">
        <f t="shared" si="16"/>
        <v>RH5</v>
      </c>
      <c r="P58" s="22">
        <f t="shared" si="17"/>
        <v>3</v>
      </c>
      <c r="Q58" s="22">
        <f t="shared" si="18"/>
        <v>4</v>
      </c>
      <c r="R58" s="22">
        <f t="shared" si="19"/>
        <v>3</v>
      </c>
      <c r="S58" s="22">
        <f t="shared" si="20"/>
        <v>4</v>
      </c>
      <c r="T58" s="40" t="e">
        <f>IF(#REF!=4, RANK(H58,H$8:H$81,1)+COUNTIF($H$8:H58,H58)-1, IF(#REF!=3, RANK(G58,G$8:G$81,1)+COUNTIF($G$8:G58,G58)-1, IF(#REF!=2, RANK(F58,F$8:F$81,1)+COUNTIF($F$8:F58,F58)-1, IF(#REF!=1, RANK(E58,E$8:E$81,1)+COUNTIF($E$8:E58,E58)-1))))</f>
        <v>#REF!</v>
      </c>
      <c r="U58" s="28" t="e">
        <f>IF(#REF!=4, H58, IF(#REF!=3, G58, IF(#REF!=2, F58, IF(#REF!=1, E58))))</f>
        <v>#REF!</v>
      </c>
      <c r="V58">
        <f t="shared" si="21"/>
        <v>49</v>
      </c>
      <c r="W58" s="9">
        <f t="shared" si="8"/>
        <v>46.551724137931032</v>
      </c>
      <c r="X58">
        <v>33.340029999999999</v>
      </c>
      <c r="Y58">
        <v>60.127509999999994</v>
      </c>
      <c r="Z58">
        <f t="shared" si="9"/>
        <v>13.211694137931033</v>
      </c>
      <c r="AA58">
        <f t="shared" si="10"/>
        <v>26.787479999999995</v>
      </c>
      <c r="AB58" t="s">
        <v>546</v>
      </c>
      <c r="AC58">
        <v>96</v>
      </c>
      <c r="AD58">
        <v>55</v>
      </c>
      <c r="AE58">
        <v>154</v>
      </c>
      <c r="AF58">
        <f t="shared" si="11"/>
        <v>41</v>
      </c>
      <c r="AG58">
        <f t="shared" si="12"/>
        <v>58</v>
      </c>
      <c r="AH58" s="48">
        <v>0.28000000000000003</v>
      </c>
      <c r="AI58">
        <v>28.070180000000001</v>
      </c>
      <c r="AJ58">
        <v>16.972919999999998</v>
      </c>
      <c r="AK58">
        <v>41.54289</v>
      </c>
      <c r="AL58">
        <f t="shared" si="13"/>
        <v>11.097260000000002</v>
      </c>
      <c r="AM58">
        <f t="shared" si="14"/>
        <v>13.472709999999999</v>
      </c>
      <c r="AN58">
        <v>39</v>
      </c>
    </row>
    <row r="59" spans="1:40" x14ac:dyDescent="0.25">
      <c r="A59" s="5" t="s">
        <v>90</v>
      </c>
      <c r="B59" s="74" t="s">
        <v>91</v>
      </c>
      <c r="C59" s="5">
        <v>42</v>
      </c>
      <c r="D59" s="5">
        <v>33</v>
      </c>
      <c r="E59" s="86">
        <v>0.97619040000000001</v>
      </c>
      <c r="F59" s="86">
        <v>0.92857140000000005</v>
      </c>
      <c r="G59" s="86">
        <v>0.97499999999999998</v>
      </c>
      <c r="H59" s="86">
        <v>0.95238100000000003</v>
      </c>
      <c r="I59" s="51">
        <f t="shared" si="15"/>
        <v>9</v>
      </c>
      <c r="J59" s="86">
        <v>0.7857142857142857</v>
      </c>
      <c r="K59" s="86">
        <v>0.21428571428571427</v>
      </c>
      <c r="L59" s="5" t="s">
        <v>189</v>
      </c>
      <c r="M59" s="5" t="s">
        <v>207</v>
      </c>
      <c r="N59" s="50">
        <v>0.84934290000000001</v>
      </c>
      <c r="O59" t="str">
        <f t="shared" si="16"/>
        <v>RTR</v>
      </c>
      <c r="P59" s="22">
        <f t="shared" si="17"/>
        <v>3</v>
      </c>
      <c r="Q59" s="22">
        <f t="shared" si="18"/>
        <v>1</v>
      </c>
      <c r="R59" s="22">
        <f t="shared" si="19"/>
        <v>3</v>
      </c>
      <c r="S59" s="22">
        <f t="shared" si="20"/>
        <v>3</v>
      </c>
      <c r="T59" s="40" t="e">
        <f>IF(#REF!=4, RANK(H59,H$8:H$81,1)+COUNTIF($H$8:H59,H59)-1, IF(#REF!=3, RANK(G59,G$8:G$81,1)+COUNTIF($G$8:G59,G59)-1, IF(#REF!=2, RANK(F59,F$8:F$81,1)+COUNTIF($F$8:F59,F59)-1, IF(#REF!=1, RANK(E59,E$8:E$81,1)+COUNTIF($E$8:E59,E59)-1))))</f>
        <v>#REF!</v>
      </c>
      <c r="U59" s="28" t="e">
        <f>IF(#REF!=4, H59, IF(#REF!=3, G59, IF(#REF!=2, F59, IF(#REF!=1, E59))))</f>
        <v>#REF!</v>
      </c>
      <c r="V59">
        <f t="shared" si="21"/>
        <v>14</v>
      </c>
      <c r="W59" s="9">
        <f t="shared" si="8"/>
        <v>78.571428571428569</v>
      </c>
      <c r="X59">
        <v>63.188429999999997</v>
      </c>
      <c r="Y59">
        <v>89.704039999999992</v>
      </c>
      <c r="Z59">
        <f t="shared" si="9"/>
        <v>15.382998571428573</v>
      </c>
      <c r="AA59">
        <f t="shared" si="10"/>
        <v>26.515609999999995</v>
      </c>
      <c r="AB59" t="s">
        <v>547</v>
      </c>
      <c r="AC59">
        <v>107</v>
      </c>
      <c r="AD59">
        <v>76</v>
      </c>
      <c r="AE59">
        <v>154</v>
      </c>
      <c r="AF59">
        <f t="shared" si="11"/>
        <v>31</v>
      </c>
      <c r="AG59">
        <f t="shared" si="12"/>
        <v>47</v>
      </c>
      <c r="AH59" s="48">
        <v>0.17</v>
      </c>
      <c r="AI59">
        <v>17.073169999999998</v>
      </c>
      <c r="AJ59">
        <v>7.1515300000000002</v>
      </c>
      <c r="AK59">
        <v>32.056089999999998</v>
      </c>
      <c r="AL59">
        <f t="shared" si="13"/>
        <v>9.9216399999999965</v>
      </c>
      <c r="AM59">
        <f t="shared" si="14"/>
        <v>14.98292</v>
      </c>
      <c r="AN59">
        <v>44</v>
      </c>
    </row>
    <row r="60" spans="1:40" x14ac:dyDescent="0.25">
      <c r="A60" s="5" t="s">
        <v>333</v>
      </c>
      <c r="B60" s="74" t="s">
        <v>334</v>
      </c>
      <c r="C60" s="5">
        <v>53</v>
      </c>
      <c r="D60" s="5">
        <v>41</v>
      </c>
      <c r="E60" s="86">
        <v>0.92452829999999997</v>
      </c>
      <c r="F60" s="86">
        <v>1</v>
      </c>
      <c r="G60" s="86">
        <v>0.95918369999999997</v>
      </c>
      <c r="H60" s="86">
        <v>1</v>
      </c>
      <c r="I60" s="51">
        <f t="shared" si="15"/>
        <v>12</v>
      </c>
      <c r="J60" s="86">
        <v>0.77358490566037741</v>
      </c>
      <c r="K60" s="86">
        <v>0.22641509433962265</v>
      </c>
      <c r="L60" s="5" t="s">
        <v>189</v>
      </c>
      <c r="M60" s="5" t="s">
        <v>201</v>
      </c>
      <c r="N60" s="50">
        <v>1.3910690000000001</v>
      </c>
      <c r="O60" t="str">
        <f t="shared" si="16"/>
        <v>R0B</v>
      </c>
      <c r="P60" s="22">
        <f t="shared" si="17"/>
        <v>2</v>
      </c>
      <c r="Q60" s="22">
        <f t="shared" si="18"/>
        <v>4</v>
      </c>
      <c r="R60" s="22">
        <f t="shared" si="19"/>
        <v>3</v>
      </c>
      <c r="S60" s="22">
        <f t="shared" si="20"/>
        <v>4</v>
      </c>
      <c r="T60" s="40" t="e">
        <f>IF(#REF!=4, RANK(H60,H$8:H$81,1)+COUNTIF($H$8:H60,H60)-1, IF(#REF!=3, RANK(G60,G$8:G$81,1)+COUNTIF($G$8:G60,G60)-1, IF(#REF!=2, RANK(F60,F$8:F$81,1)+COUNTIF($F$8:F60,F60)-1, IF(#REF!=1, RANK(E60,E$8:E$81,1)+COUNTIF($E$8:E60,E60)-1))))</f>
        <v>#REF!</v>
      </c>
      <c r="U60" s="28" t="e">
        <f>IF(#REF!=4, H60, IF(#REF!=3, G60, IF(#REF!=2, F60, IF(#REF!=1, E60))))</f>
        <v>#REF!</v>
      </c>
      <c r="V60">
        <f t="shared" si="21"/>
        <v>15</v>
      </c>
      <c r="W60" s="9">
        <f t="shared" si="8"/>
        <v>77.358490566037744</v>
      </c>
      <c r="X60">
        <v>63.790400000000005</v>
      </c>
      <c r="Y60">
        <v>87.717259999999996</v>
      </c>
      <c r="Z60">
        <f t="shared" si="9"/>
        <v>13.568090566037739</v>
      </c>
      <c r="AA60">
        <f t="shared" si="10"/>
        <v>23.926859999999991</v>
      </c>
      <c r="AB60" t="s">
        <v>548</v>
      </c>
      <c r="AC60">
        <v>65</v>
      </c>
      <c r="AD60">
        <v>45</v>
      </c>
      <c r="AE60">
        <v>101</v>
      </c>
      <c r="AF60">
        <f t="shared" si="11"/>
        <v>20</v>
      </c>
      <c r="AG60">
        <f t="shared" si="12"/>
        <v>36</v>
      </c>
      <c r="AH60" s="48">
        <v>0.43</v>
      </c>
      <c r="AI60">
        <v>42.857140000000001</v>
      </c>
      <c r="AJ60">
        <v>28.819519999999997</v>
      </c>
      <c r="AK60">
        <v>57.789590000000004</v>
      </c>
      <c r="AL60">
        <f t="shared" si="13"/>
        <v>14.037620000000004</v>
      </c>
      <c r="AM60">
        <f t="shared" si="14"/>
        <v>14.932450000000003</v>
      </c>
      <c r="AN60">
        <v>10</v>
      </c>
    </row>
    <row r="61" spans="1:40" x14ac:dyDescent="0.25">
      <c r="A61" s="5" t="s">
        <v>47</v>
      </c>
      <c r="B61" s="74" t="s">
        <v>48</v>
      </c>
      <c r="C61" s="5">
        <v>42</v>
      </c>
      <c r="D61" s="5">
        <v>40</v>
      </c>
      <c r="E61" s="86">
        <v>0.85714290000000004</v>
      </c>
      <c r="F61" s="86">
        <v>1</v>
      </c>
      <c r="G61" s="86">
        <v>0.84615390000000001</v>
      </c>
      <c r="H61" s="86">
        <v>0.90476190000000001</v>
      </c>
      <c r="I61" s="51">
        <f t="shared" si="15"/>
        <v>2</v>
      </c>
      <c r="J61" s="86">
        <v>0.95238095238095233</v>
      </c>
      <c r="K61" s="86">
        <v>4.7619047619047616E-2</v>
      </c>
      <c r="L61" s="5" t="s">
        <v>189</v>
      </c>
      <c r="M61" s="5" t="s">
        <v>424</v>
      </c>
      <c r="N61" s="50">
        <v>0</v>
      </c>
      <c r="O61" t="str">
        <f t="shared" si="16"/>
        <v>RJ7</v>
      </c>
      <c r="P61" s="22">
        <f t="shared" si="17"/>
        <v>2</v>
      </c>
      <c r="Q61" s="22">
        <f t="shared" si="18"/>
        <v>4</v>
      </c>
      <c r="R61" s="22">
        <f t="shared" si="19"/>
        <v>1</v>
      </c>
      <c r="S61" s="22">
        <f t="shared" si="20"/>
        <v>2</v>
      </c>
      <c r="T61" s="40" t="e">
        <f>IF(#REF!=4, RANK(H61,H$8:H$81,1)+COUNTIF($H$8:H61,H61)-1, IF(#REF!=3, RANK(G61,G$8:G$81,1)+COUNTIF($G$8:G61,G61)-1, IF(#REF!=2, RANK(F61,F$8:F$81,1)+COUNTIF($F$8:F61,F61)-1, IF(#REF!=1, RANK(E61,E$8:E$81,1)+COUNTIF($E$8:E61,E61)-1))))</f>
        <v>#REF!</v>
      </c>
      <c r="U61" s="28" t="e">
        <f>IF(#REF!=4, H61, IF(#REF!=3, G61, IF(#REF!=2, F61, IF(#REF!=1, E61))))</f>
        <v>#REF!</v>
      </c>
      <c r="V61">
        <f t="shared" si="21"/>
        <v>5</v>
      </c>
      <c r="W61" s="9">
        <f t="shared" si="8"/>
        <v>95.238095238095227</v>
      </c>
      <c r="X61">
        <v>83.835800000000006</v>
      </c>
      <c r="Y61">
        <v>99.418019999999999</v>
      </c>
      <c r="Z61">
        <f t="shared" si="9"/>
        <v>11.40229523809522</v>
      </c>
      <c r="AA61">
        <f t="shared" si="10"/>
        <v>15.582219999999992</v>
      </c>
      <c r="AB61" t="s">
        <v>549</v>
      </c>
      <c r="AC61">
        <v>75</v>
      </c>
      <c r="AD61">
        <v>46</v>
      </c>
      <c r="AE61">
        <v>129</v>
      </c>
      <c r="AF61">
        <f t="shared" si="11"/>
        <v>29</v>
      </c>
      <c r="AG61">
        <f t="shared" si="12"/>
        <v>54</v>
      </c>
      <c r="AH61" s="48">
        <v>0.33</v>
      </c>
      <c r="AI61">
        <v>33.333329999999997</v>
      </c>
      <c r="AJ61">
        <v>18.556180000000001</v>
      </c>
      <c r="AK61">
        <v>50.970260000000003</v>
      </c>
      <c r="AL61">
        <f t="shared" si="13"/>
        <v>14.777149999999995</v>
      </c>
      <c r="AM61">
        <f t="shared" si="14"/>
        <v>17.636930000000007</v>
      </c>
      <c r="AN61">
        <v>21</v>
      </c>
    </row>
    <row r="62" spans="1:40" x14ac:dyDescent="0.25">
      <c r="A62" s="5" t="s">
        <v>2</v>
      </c>
      <c r="B62" s="74" t="s">
        <v>158</v>
      </c>
      <c r="C62" s="5">
        <v>42</v>
      </c>
      <c r="D62" s="5">
        <v>17</v>
      </c>
      <c r="E62" s="86">
        <v>0.97619040000000001</v>
      </c>
      <c r="F62" s="86">
        <v>0.97619040000000001</v>
      </c>
      <c r="G62" s="86">
        <v>0.97560979999999997</v>
      </c>
      <c r="H62" s="86">
        <v>0.92857140000000005</v>
      </c>
      <c r="I62" s="51">
        <f t="shared" si="15"/>
        <v>25</v>
      </c>
      <c r="J62" s="86">
        <v>0.40476190476190477</v>
      </c>
      <c r="K62" s="86">
        <v>0.59523809523809523</v>
      </c>
      <c r="L62" s="5" t="s">
        <v>193</v>
      </c>
      <c r="M62" s="5" t="s">
        <v>406</v>
      </c>
      <c r="N62" s="50">
        <v>4.7530359999999998</v>
      </c>
      <c r="O62" t="str">
        <f t="shared" si="16"/>
        <v>7A3</v>
      </c>
      <c r="P62" s="22">
        <f t="shared" si="17"/>
        <v>3</v>
      </c>
      <c r="Q62" s="22">
        <f t="shared" si="18"/>
        <v>1</v>
      </c>
      <c r="R62" s="22">
        <f t="shared" si="19"/>
        <v>3</v>
      </c>
      <c r="S62" s="22">
        <f t="shared" si="20"/>
        <v>3</v>
      </c>
      <c r="T62" s="40" t="e">
        <f>IF(#REF!=4, RANK(H62,H$8:H$81,1)+COUNTIF($H$8:H62,H62)-1, IF(#REF!=3, RANK(G62,G$8:G$81,1)+COUNTIF($G$8:G62,G62)-1, IF(#REF!=2, RANK(F62,F$8:F$81,1)+COUNTIF($F$8:F62,F62)-1, IF(#REF!=1, RANK(E62,E$8:E$81,1)+COUNTIF($E$8:E62,E62)-1))))</f>
        <v>#REF!</v>
      </c>
      <c r="U62" s="28" t="e">
        <f>IF(#REF!=4, H62, IF(#REF!=3, G62, IF(#REF!=2, F62, IF(#REF!=1, E62))))</f>
        <v>#REF!</v>
      </c>
      <c r="V62">
        <f t="shared" si="21"/>
        <v>56</v>
      </c>
      <c r="W62" s="9">
        <f t="shared" si="8"/>
        <v>40.476190476190474</v>
      </c>
      <c r="X62">
        <v>25.629089999999998</v>
      </c>
      <c r="Y62">
        <v>56.717910000000003</v>
      </c>
      <c r="Z62">
        <f t="shared" si="9"/>
        <v>14.847100476190477</v>
      </c>
      <c r="AA62">
        <f t="shared" si="10"/>
        <v>31.088820000000005</v>
      </c>
      <c r="AB62" t="s">
        <v>550</v>
      </c>
      <c r="AC62">
        <v>211</v>
      </c>
      <c r="AD62">
        <v>112</v>
      </c>
      <c r="AE62">
        <v>271</v>
      </c>
      <c r="AF62">
        <f t="shared" si="11"/>
        <v>99</v>
      </c>
      <c r="AG62">
        <f t="shared" si="12"/>
        <v>60</v>
      </c>
      <c r="AH62" s="48">
        <v>7.0000000000000007E-2</v>
      </c>
      <c r="AI62">
        <v>7.3170700000000002</v>
      </c>
      <c r="AJ62">
        <v>1.53515</v>
      </c>
      <c r="AK62">
        <v>19.924600000000002</v>
      </c>
      <c r="AL62">
        <f t="shared" si="13"/>
        <v>5.7819200000000004</v>
      </c>
      <c r="AM62">
        <f t="shared" si="14"/>
        <v>12.607530000000001</v>
      </c>
      <c r="AN62">
        <v>62</v>
      </c>
    </row>
    <row r="63" spans="1:40" x14ac:dyDescent="0.25">
      <c r="A63" s="5" t="s">
        <v>64</v>
      </c>
      <c r="B63" s="74" t="s">
        <v>65</v>
      </c>
      <c r="C63" s="5">
        <v>37</v>
      </c>
      <c r="D63" s="5">
        <v>21</v>
      </c>
      <c r="E63" s="86">
        <v>0.78378380000000003</v>
      </c>
      <c r="F63" s="86">
        <v>0.97297299999999998</v>
      </c>
      <c r="G63" s="86">
        <v>0.8125</v>
      </c>
      <c r="H63" s="86">
        <v>0.48648649999999999</v>
      </c>
      <c r="I63" s="51">
        <f t="shared" si="15"/>
        <v>16</v>
      </c>
      <c r="J63" s="86">
        <v>0.56756756756756754</v>
      </c>
      <c r="K63" s="86">
        <v>0.43243243243243246</v>
      </c>
      <c r="L63" s="5" t="s">
        <v>189</v>
      </c>
      <c r="M63" s="5" t="s">
        <v>432</v>
      </c>
      <c r="N63" s="50">
        <v>0</v>
      </c>
      <c r="O63" t="str">
        <f t="shared" si="16"/>
        <v>RNA</v>
      </c>
      <c r="P63" s="22">
        <f t="shared" si="17"/>
        <v>1</v>
      </c>
      <c r="Q63" s="22">
        <f t="shared" si="18"/>
        <v>1</v>
      </c>
      <c r="R63" s="22">
        <f t="shared" si="19"/>
        <v>1</v>
      </c>
      <c r="S63" s="22">
        <f t="shared" si="20"/>
        <v>1</v>
      </c>
      <c r="T63" s="40" t="e">
        <f>IF(#REF!=4, RANK(H63,H$8:H$81,1)+COUNTIF($H$8:H63,H63)-1, IF(#REF!=3, RANK(G63,G$8:G$81,1)+COUNTIF($G$8:G63,G63)-1, IF(#REF!=2, RANK(F63,F$8:F$81,1)+COUNTIF($F$8:F63,F63)-1, IF(#REF!=1, RANK(E63,E$8:E$81,1)+COUNTIF($E$8:E63,E63)-1))))</f>
        <v>#REF!</v>
      </c>
      <c r="U63" s="28" t="e">
        <f>IF(#REF!=4, H63, IF(#REF!=3, G63, IF(#REF!=2, F63, IF(#REF!=1, E63))))</f>
        <v>#REF!</v>
      </c>
      <c r="V63">
        <f t="shared" si="21"/>
        <v>36</v>
      </c>
      <c r="W63" s="9">
        <f t="shared" si="8"/>
        <v>56.756756756756758</v>
      </c>
      <c r="X63">
        <v>39.488440000000004</v>
      </c>
      <c r="Y63">
        <v>72.902069999999995</v>
      </c>
      <c r="Z63">
        <f t="shared" si="9"/>
        <v>17.268316756756754</v>
      </c>
      <c r="AA63">
        <f t="shared" si="10"/>
        <v>33.413629999999991</v>
      </c>
      <c r="AB63" t="s">
        <v>551</v>
      </c>
      <c r="AC63">
        <v>90</v>
      </c>
      <c r="AD63">
        <v>56</v>
      </c>
      <c r="AE63">
        <v>131</v>
      </c>
      <c r="AF63">
        <f t="shared" si="11"/>
        <v>34</v>
      </c>
      <c r="AG63">
        <f t="shared" si="12"/>
        <v>41</v>
      </c>
      <c r="AH63" s="48">
        <v>0.28000000000000003</v>
      </c>
      <c r="AI63">
        <v>27.586210000000001</v>
      </c>
      <c r="AJ63">
        <v>12.734010000000001</v>
      </c>
      <c r="AK63">
        <v>47.23845</v>
      </c>
      <c r="AL63">
        <f t="shared" si="13"/>
        <v>14.8522</v>
      </c>
      <c r="AM63">
        <f t="shared" si="14"/>
        <v>19.652239999999999</v>
      </c>
      <c r="AN63">
        <v>35</v>
      </c>
    </row>
    <row r="64" spans="1:40" x14ac:dyDescent="0.25">
      <c r="A64" s="5" t="s">
        <v>13</v>
      </c>
      <c r="B64" s="74" t="s">
        <v>14</v>
      </c>
      <c r="C64" s="5">
        <v>4</v>
      </c>
      <c r="D64" s="5">
        <v>4</v>
      </c>
      <c r="E64" s="86">
        <v>1</v>
      </c>
      <c r="F64" s="86">
        <v>1</v>
      </c>
      <c r="G64" s="86">
        <v>1</v>
      </c>
      <c r="H64" s="86">
        <v>1</v>
      </c>
      <c r="I64" s="51">
        <f t="shared" si="15"/>
        <v>0</v>
      </c>
      <c r="J64" s="86">
        <v>1</v>
      </c>
      <c r="K64" s="86">
        <v>0</v>
      </c>
      <c r="L64" s="5" t="s">
        <v>412</v>
      </c>
      <c r="M64" s="5" t="s">
        <v>411</v>
      </c>
      <c r="N64" s="50">
        <v>0</v>
      </c>
      <c r="O64" t="str">
        <f t="shared" si="16"/>
        <v>RA9</v>
      </c>
      <c r="P64" s="22">
        <f t="shared" si="17"/>
        <v>4</v>
      </c>
      <c r="Q64" s="22">
        <f t="shared" si="18"/>
        <v>4</v>
      </c>
      <c r="R64" s="22">
        <f t="shared" si="19"/>
        <v>4</v>
      </c>
      <c r="S64" s="22">
        <f t="shared" si="20"/>
        <v>4</v>
      </c>
      <c r="T64" s="40" t="e">
        <f>IF(#REF!=4, RANK(H64,H$8:H$81,1)+COUNTIF($H$8:H64,H64)-1, IF(#REF!=3, RANK(G64,G$8:G$81,1)+COUNTIF($G$8:G64,G64)-1, IF(#REF!=2, RANK(F64,F$8:F$81,1)+COUNTIF($F$8:F64,F64)-1, IF(#REF!=1, RANK(E64,E$8:E$81,1)+COUNTIF($E$8:E64,E64)-1))))</f>
        <v>#REF!</v>
      </c>
      <c r="U64" s="28" t="e">
        <f>IF(#REF!=4, H64, IF(#REF!=3, G64, IF(#REF!=2, F64, IF(#REF!=1, E64))))</f>
        <v>#REF!</v>
      </c>
      <c r="V64">
        <f t="shared" si="21"/>
        <v>1</v>
      </c>
      <c r="W64" s="9">
        <f t="shared" si="8"/>
        <v>100</v>
      </c>
      <c r="X64" t="e">
        <v>#N/A</v>
      </c>
      <c r="Y64" t="e">
        <v>#N/A</v>
      </c>
      <c r="Z64" t="e">
        <f t="shared" si="9"/>
        <v>#N/A</v>
      </c>
      <c r="AA64" t="e">
        <f t="shared" si="10"/>
        <v>#N/A</v>
      </c>
      <c r="AB64" t="e">
        <v>#N/A</v>
      </c>
      <c r="AC64" t="e">
        <v>#N/A</v>
      </c>
      <c r="AD64" t="e">
        <v>#N/A</v>
      </c>
      <c r="AE64" t="e">
        <v>#N/A</v>
      </c>
      <c r="AF64" t="e">
        <f t="shared" si="11"/>
        <v>#N/A</v>
      </c>
      <c r="AG64" t="e">
        <f t="shared" si="12"/>
        <v>#N/A</v>
      </c>
      <c r="AH64" t="e">
        <v>#N/A</v>
      </c>
      <c r="AI64" t="e">
        <v>#N/A</v>
      </c>
      <c r="AJ64" t="e">
        <v>#N/A</v>
      </c>
      <c r="AK64" t="e">
        <v>#N/A</v>
      </c>
      <c r="AL64" t="e">
        <f t="shared" si="13"/>
        <v>#N/A</v>
      </c>
      <c r="AM64" t="e">
        <f t="shared" si="14"/>
        <v>#N/A</v>
      </c>
      <c r="AN64" t="e">
        <v>#N/A</v>
      </c>
    </row>
    <row r="65" spans="1:40" x14ac:dyDescent="0.25">
      <c r="A65" s="5" t="s">
        <v>97</v>
      </c>
      <c r="B65" s="74" t="s">
        <v>98</v>
      </c>
      <c r="C65" s="5">
        <v>41</v>
      </c>
      <c r="D65" s="5">
        <v>19</v>
      </c>
      <c r="E65" s="86">
        <v>1</v>
      </c>
      <c r="F65" s="86">
        <v>1</v>
      </c>
      <c r="G65" s="86">
        <v>1</v>
      </c>
      <c r="H65" s="86">
        <v>0.97560979999999997</v>
      </c>
      <c r="I65" s="51">
        <f t="shared" si="15"/>
        <v>22</v>
      </c>
      <c r="J65" s="86">
        <v>0.46341463414634149</v>
      </c>
      <c r="K65" s="86">
        <v>0.53658536585365857</v>
      </c>
      <c r="L65" s="5" t="s">
        <v>193</v>
      </c>
      <c r="M65" s="5" t="s">
        <v>170</v>
      </c>
      <c r="N65" s="50">
        <v>0.99505089999999996</v>
      </c>
      <c r="O65" t="str">
        <f t="shared" si="16"/>
        <v>RWD</v>
      </c>
      <c r="P65" s="22">
        <f t="shared" si="17"/>
        <v>4</v>
      </c>
      <c r="Q65" s="22">
        <f t="shared" si="18"/>
        <v>4</v>
      </c>
      <c r="R65" s="22">
        <f t="shared" si="19"/>
        <v>4</v>
      </c>
      <c r="S65" s="22">
        <f t="shared" si="20"/>
        <v>3</v>
      </c>
      <c r="T65" s="40" t="e">
        <f>IF(#REF!=4, RANK(H65,H$8:H$81,1)+COUNTIF($H$8:H65,H65)-1, IF(#REF!=3, RANK(G65,G$8:G$81,1)+COUNTIF($G$8:G65,G65)-1, IF(#REF!=2, RANK(F65,F$8:F$81,1)+COUNTIF($F$8:F65,F65)-1, IF(#REF!=1, RANK(E65,E$8:E$81,1)+COUNTIF($E$8:E65,E65)-1))))</f>
        <v>#REF!</v>
      </c>
      <c r="U65" s="28" t="e">
        <f>IF(#REF!=4, H65, IF(#REF!=3, G65, IF(#REF!=2, F65, IF(#REF!=1, E65))))</f>
        <v>#REF!</v>
      </c>
      <c r="V65">
        <f t="shared" si="21"/>
        <v>50</v>
      </c>
      <c r="W65" s="9">
        <f t="shared" si="8"/>
        <v>46.341463414634148</v>
      </c>
      <c r="X65">
        <v>30.655939999999998</v>
      </c>
      <c r="Y65">
        <v>62.575159999999997</v>
      </c>
      <c r="Z65">
        <f t="shared" si="9"/>
        <v>15.685523414634151</v>
      </c>
      <c r="AA65">
        <f t="shared" si="10"/>
        <v>31.919219999999999</v>
      </c>
      <c r="AB65" t="s">
        <v>552</v>
      </c>
      <c r="AC65">
        <v>96</v>
      </c>
      <c r="AD65">
        <v>63</v>
      </c>
      <c r="AE65">
        <v>110</v>
      </c>
      <c r="AF65">
        <f t="shared" si="11"/>
        <v>33</v>
      </c>
      <c r="AG65">
        <f t="shared" si="12"/>
        <v>14</v>
      </c>
      <c r="AH65" s="48">
        <v>0.22</v>
      </c>
      <c r="AI65">
        <v>21.951219999999999</v>
      </c>
      <c r="AJ65">
        <v>10.560799999999999</v>
      </c>
      <c r="AK65">
        <v>37.613750000000003</v>
      </c>
      <c r="AL65">
        <f t="shared" si="13"/>
        <v>11.390420000000001</v>
      </c>
      <c r="AM65">
        <f t="shared" si="14"/>
        <v>15.662530000000004</v>
      </c>
      <c r="AN65">
        <v>37</v>
      </c>
    </row>
    <row r="66" spans="1:40" x14ac:dyDescent="0.25">
      <c r="A66" s="5" t="s">
        <v>49</v>
      </c>
      <c r="B66" s="74" t="s">
        <v>50</v>
      </c>
      <c r="C66" s="5">
        <v>108</v>
      </c>
      <c r="D66" s="5">
        <v>59</v>
      </c>
      <c r="E66" s="86">
        <v>0.97222220000000004</v>
      </c>
      <c r="F66" s="86">
        <v>1</v>
      </c>
      <c r="G66" s="86">
        <v>0.96590909999999996</v>
      </c>
      <c r="H66" s="86">
        <v>0.92592589999999997</v>
      </c>
      <c r="I66" s="51">
        <f t="shared" si="15"/>
        <v>49</v>
      </c>
      <c r="J66" s="86">
        <v>0.54629629629629628</v>
      </c>
      <c r="K66" s="86">
        <v>0.45370370370370372</v>
      </c>
      <c r="L66" s="5" t="s">
        <v>172</v>
      </c>
      <c r="M66" s="5" t="s">
        <v>210</v>
      </c>
      <c r="N66" s="50">
        <v>2.3698299999999999</v>
      </c>
      <c r="O66" t="str">
        <f t="shared" si="16"/>
        <v>RJE</v>
      </c>
      <c r="P66" s="22">
        <f t="shared" si="17"/>
        <v>3</v>
      </c>
      <c r="Q66" s="22">
        <f t="shared" si="18"/>
        <v>4</v>
      </c>
      <c r="R66" s="22">
        <f t="shared" si="19"/>
        <v>3</v>
      </c>
      <c r="S66" s="22">
        <f t="shared" si="20"/>
        <v>3</v>
      </c>
      <c r="T66" s="40" t="e">
        <f>IF(#REF!=4, RANK(H66,H$8:H$81,1)+COUNTIF($H$8:H66,H66)-1, IF(#REF!=3, RANK(G66,G$8:G$81,1)+COUNTIF($G$8:G66,G66)-1, IF(#REF!=2, RANK(F66,F$8:F$81,1)+COUNTIF($F$8:F66,F66)-1, IF(#REF!=1, RANK(E66,E$8:E$81,1)+COUNTIF($E$8:E66,E66)-1))))</f>
        <v>#REF!</v>
      </c>
      <c r="U66" s="28" t="e">
        <f>IF(#REF!=4, H66, IF(#REF!=3, G66, IF(#REF!=2, F66, IF(#REF!=1, E66))))</f>
        <v>#REF!</v>
      </c>
      <c r="V66">
        <f t="shared" si="21"/>
        <v>41</v>
      </c>
      <c r="W66" s="9">
        <f t="shared" si="8"/>
        <v>54.629629629629626</v>
      </c>
      <c r="X66">
        <v>44.763350000000003</v>
      </c>
      <c r="Y66">
        <v>64.235590000000002</v>
      </c>
      <c r="Z66">
        <f t="shared" si="9"/>
        <v>9.8662796296296236</v>
      </c>
      <c r="AA66">
        <f t="shared" si="10"/>
        <v>19.472239999999999</v>
      </c>
      <c r="AB66" t="s">
        <v>553</v>
      </c>
      <c r="AC66">
        <v>119</v>
      </c>
      <c r="AD66">
        <v>71</v>
      </c>
      <c r="AE66">
        <v>194</v>
      </c>
      <c r="AF66">
        <f t="shared" si="11"/>
        <v>48</v>
      </c>
      <c r="AG66">
        <f t="shared" si="12"/>
        <v>75</v>
      </c>
      <c r="AH66" s="48">
        <v>0.18</v>
      </c>
      <c r="AI66">
        <v>18.09524</v>
      </c>
      <c r="AJ66">
        <v>11.26051</v>
      </c>
      <c r="AK66">
        <v>26.806699999999999</v>
      </c>
      <c r="AL66">
        <f t="shared" si="13"/>
        <v>6.8347300000000004</v>
      </c>
      <c r="AM66">
        <f t="shared" si="14"/>
        <v>8.7114599999999989</v>
      </c>
      <c r="AN66">
        <v>48</v>
      </c>
    </row>
    <row r="67" spans="1:40" x14ac:dyDescent="0.25">
      <c r="A67" s="5" t="s">
        <v>39</v>
      </c>
      <c r="B67" s="74" t="s">
        <v>40</v>
      </c>
      <c r="C67" s="5">
        <v>69</v>
      </c>
      <c r="D67" s="5">
        <v>46</v>
      </c>
      <c r="E67" s="86">
        <v>0.84057970000000004</v>
      </c>
      <c r="F67" s="86">
        <v>1</v>
      </c>
      <c r="G67" s="86">
        <v>0.86885239999999997</v>
      </c>
      <c r="H67" s="86">
        <v>0.76811589999999996</v>
      </c>
      <c r="I67" s="51">
        <f t="shared" si="15"/>
        <v>23</v>
      </c>
      <c r="J67" s="86">
        <v>0.66666666666666663</v>
      </c>
      <c r="K67" s="86">
        <v>0.33333333333333331</v>
      </c>
      <c r="L67" s="5" t="s">
        <v>176</v>
      </c>
      <c r="M67" s="5" t="s">
        <v>169</v>
      </c>
      <c r="N67" s="50">
        <v>0.92936470000000004</v>
      </c>
      <c r="O67" t="str">
        <f t="shared" si="16"/>
        <v>RHM</v>
      </c>
      <c r="P67" s="22">
        <f t="shared" si="17"/>
        <v>1</v>
      </c>
      <c r="Q67" s="22">
        <f t="shared" si="18"/>
        <v>4</v>
      </c>
      <c r="R67" s="22">
        <f t="shared" si="19"/>
        <v>2</v>
      </c>
      <c r="S67" s="22">
        <f t="shared" si="20"/>
        <v>1</v>
      </c>
      <c r="T67" s="40" t="e">
        <f>IF(#REF!=4, RANK(H67,H$8:H$81,1)+COUNTIF($H$8:H67,H67)-1, IF(#REF!=3, RANK(G67,G$8:G$81,1)+COUNTIF($G$8:G67,G67)-1, IF(#REF!=2, RANK(F67,F$8:F$81,1)+COUNTIF($F$8:F67,F67)-1, IF(#REF!=1, RANK(E67,E$8:E$81,1)+COUNTIF($E$8:E67,E67)-1))))</f>
        <v>#REF!</v>
      </c>
      <c r="U67" s="28" t="e">
        <f>IF(#REF!=4, H67, IF(#REF!=3, G67, IF(#REF!=2, F67, IF(#REF!=1, E67))))</f>
        <v>#REF!</v>
      </c>
      <c r="V67">
        <f t="shared" si="21"/>
        <v>23</v>
      </c>
      <c r="W67" s="9">
        <f t="shared" si="8"/>
        <v>66.666666666666657</v>
      </c>
      <c r="X67">
        <v>54.288159999999998</v>
      </c>
      <c r="Y67">
        <v>77.563249999999996</v>
      </c>
      <c r="Z67">
        <f t="shared" si="9"/>
        <v>12.378506666666659</v>
      </c>
      <c r="AA67">
        <f t="shared" si="10"/>
        <v>23.275089999999999</v>
      </c>
      <c r="AB67" t="s">
        <v>554</v>
      </c>
      <c r="AC67">
        <v>69</v>
      </c>
      <c r="AD67">
        <v>38</v>
      </c>
      <c r="AE67">
        <v>108</v>
      </c>
      <c r="AF67">
        <f t="shared" si="11"/>
        <v>31</v>
      </c>
      <c r="AG67">
        <f t="shared" si="12"/>
        <v>39</v>
      </c>
      <c r="AH67" s="48">
        <v>0.41</v>
      </c>
      <c r="AI67">
        <v>41.379310000000004</v>
      </c>
      <c r="AJ67">
        <v>28.596329999999998</v>
      </c>
      <c r="AK67">
        <v>55.073380000000007</v>
      </c>
      <c r="AL67">
        <f t="shared" si="13"/>
        <v>12.782980000000006</v>
      </c>
      <c r="AM67">
        <f t="shared" si="14"/>
        <v>13.694070000000004</v>
      </c>
      <c r="AN67">
        <v>15</v>
      </c>
    </row>
    <row r="68" spans="1:40" x14ac:dyDescent="0.25">
      <c r="A68" s="5" t="s">
        <v>360</v>
      </c>
      <c r="B68" s="74" t="s">
        <v>361</v>
      </c>
      <c r="C68" s="5">
        <v>61</v>
      </c>
      <c r="D68" s="5">
        <v>44</v>
      </c>
      <c r="E68" s="86">
        <v>0.96721310000000005</v>
      </c>
      <c r="F68" s="86">
        <v>0.9836066</v>
      </c>
      <c r="G68" s="86">
        <v>0.96666660000000004</v>
      </c>
      <c r="H68" s="86">
        <v>1</v>
      </c>
      <c r="I68" s="51">
        <f t="shared" si="15"/>
        <v>17</v>
      </c>
      <c r="J68" s="86">
        <v>0.72131147540983609</v>
      </c>
      <c r="K68" s="86">
        <v>0.27868852459016391</v>
      </c>
      <c r="L68" s="5" t="s">
        <v>187</v>
      </c>
      <c r="M68" s="5" t="s">
        <v>272</v>
      </c>
      <c r="N68" s="50">
        <v>0</v>
      </c>
      <c r="O68" t="str">
        <f t="shared" si="16"/>
        <v>RYR</v>
      </c>
      <c r="P68" s="22">
        <f t="shared" si="17"/>
        <v>3</v>
      </c>
      <c r="Q68" s="22">
        <f t="shared" si="18"/>
        <v>2</v>
      </c>
      <c r="R68" s="22">
        <f t="shared" si="19"/>
        <v>3</v>
      </c>
      <c r="S68" s="22">
        <f t="shared" si="20"/>
        <v>4</v>
      </c>
      <c r="T68" s="40" t="e">
        <f>IF(#REF!=4, RANK(H68,H$8:H$81,1)+COUNTIF($H$8:H68,H68)-1, IF(#REF!=3, RANK(G68,G$8:G$81,1)+COUNTIF($G$8:G68,G68)-1, IF(#REF!=2, RANK(F68,F$8:F$81,1)+COUNTIF($F$8:F68,F68)-1, IF(#REF!=1, RANK(E68,E$8:E$81,1)+COUNTIF($E$8:E68,E68)-1))))</f>
        <v>#REF!</v>
      </c>
      <c r="U68" s="28" t="e">
        <f>IF(#REF!=4, H68, IF(#REF!=3, G68, IF(#REF!=2, F68, IF(#REF!=1, E68))))</f>
        <v>#REF!</v>
      </c>
      <c r="V68">
        <f t="shared" si="21"/>
        <v>20</v>
      </c>
      <c r="W68" s="9">
        <f t="shared" si="8"/>
        <v>72.131147540983605</v>
      </c>
      <c r="X68">
        <v>59.171250000000001</v>
      </c>
      <c r="Y68">
        <v>82.852789999999999</v>
      </c>
      <c r="Z68">
        <f t="shared" si="9"/>
        <v>12.959897540983604</v>
      </c>
      <c r="AA68">
        <f t="shared" si="10"/>
        <v>23.681539999999998</v>
      </c>
      <c r="AB68" t="s">
        <v>555</v>
      </c>
      <c r="AC68">
        <v>154</v>
      </c>
      <c r="AD68">
        <v>71</v>
      </c>
      <c r="AE68">
        <v>218</v>
      </c>
      <c r="AF68">
        <f t="shared" si="11"/>
        <v>83</v>
      </c>
      <c r="AG68">
        <f t="shared" si="12"/>
        <v>64</v>
      </c>
      <c r="AH68" s="48">
        <v>0.19</v>
      </c>
      <c r="AI68">
        <v>18.644069999999999</v>
      </c>
      <c r="AJ68">
        <v>9.6919500000000003</v>
      </c>
      <c r="AK68">
        <v>30.914860000000001</v>
      </c>
      <c r="AL68">
        <f t="shared" si="13"/>
        <v>8.952119999999999</v>
      </c>
      <c r="AM68">
        <f t="shared" si="14"/>
        <v>12.270790000000002</v>
      </c>
      <c r="AN68">
        <v>58</v>
      </c>
    </row>
    <row r="69" spans="1:40" x14ac:dyDescent="0.25">
      <c r="A69" s="5" t="s">
        <v>77</v>
      </c>
      <c r="B69" s="74" t="s">
        <v>78</v>
      </c>
      <c r="C69" s="5">
        <v>39</v>
      </c>
      <c r="D69" s="5">
        <v>31</v>
      </c>
      <c r="E69" s="86">
        <v>0.89743589999999995</v>
      </c>
      <c r="F69" s="86">
        <v>0.94871799999999995</v>
      </c>
      <c r="G69" s="86">
        <v>0.94117649999999997</v>
      </c>
      <c r="H69" s="86">
        <v>0.87179490000000004</v>
      </c>
      <c r="I69" s="51">
        <f t="shared" si="15"/>
        <v>8</v>
      </c>
      <c r="J69" s="86">
        <v>0.79487179487179482</v>
      </c>
      <c r="K69" s="86">
        <v>0.20512820512820512</v>
      </c>
      <c r="L69" s="5" t="s">
        <v>183</v>
      </c>
      <c r="M69" s="5" t="s">
        <v>437</v>
      </c>
      <c r="N69" s="50">
        <v>2.8768060000000002</v>
      </c>
      <c r="O69" t="str">
        <f t="shared" si="16"/>
        <v>RRK</v>
      </c>
      <c r="P69" s="22">
        <f t="shared" si="17"/>
        <v>2</v>
      </c>
      <c r="Q69" s="22">
        <f t="shared" si="18"/>
        <v>1</v>
      </c>
      <c r="R69" s="22">
        <f t="shared" si="19"/>
        <v>2</v>
      </c>
      <c r="S69" s="22">
        <f t="shared" si="20"/>
        <v>2</v>
      </c>
      <c r="T69" s="40" t="e">
        <f>IF(#REF!=4, RANK(H69,H$8:H$81,1)+COUNTIF($H$8:H69,H69)-1, IF(#REF!=3, RANK(G69,G$8:G$81,1)+COUNTIF($G$8:G69,G69)-1, IF(#REF!=2, RANK(F69,F$8:F$81,1)+COUNTIF($F$8:F69,F69)-1, IF(#REF!=1, RANK(E69,E$8:E$81,1)+COUNTIF($E$8:E69,E69)-1))))</f>
        <v>#REF!</v>
      </c>
      <c r="U69" s="28" t="e">
        <f>IF(#REF!=4, H69, IF(#REF!=3, G69, IF(#REF!=2, F69, IF(#REF!=1, E69))))</f>
        <v>#REF!</v>
      </c>
      <c r="V69">
        <f t="shared" si="21"/>
        <v>13</v>
      </c>
      <c r="W69" s="9">
        <f t="shared" si="8"/>
        <v>79.487179487179489</v>
      </c>
      <c r="X69">
        <v>63.535580000000003</v>
      </c>
      <c r="Y69">
        <v>90.703609999999998</v>
      </c>
      <c r="Z69">
        <f t="shared" si="9"/>
        <v>15.951599487179486</v>
      </c>
      <c r="AA69">
        <f t="shared" si="10"/>
        <v>27.168029999999995</v>
      </c>
      <c r="AB69" t="s">
        <v>556</v>
      </c>
      <c r="AC69">
        <v>197</v>
      </c>
      <c r="AD69">
        <v>76</v>
      </c>
      <c r="AE69">
        <v>303</v>
      </c>
      <c r="AF69">
        <f t="shared" si="11"/>
        <v>121</v>
      </c>
      <c r="AG69">
        <f t="shared" si="12"/>
        <v>106</v>
      </c>
      <c r="AH69" s="48">
        <v>0.2</v>
      </c>
      <c r="AI69">
        <v>20</v>
      </c>
      <c r="AJ69">
        <v>8.4405999999999999</v>
      </c>
      <c r="AK69">
        <v>36.93788</v>
      </c>
      <c r="AL69">
        <f t="shared" si="13"/>
        <v>11.5594</v>
      </c>
      <c r="AM69">
        <f t="shared" si="14"/>
        <v>16.93788</v>
      </c>
      <c r="AN69">
        <v>61</v>
      </c>
    </row>
    <row r="70" spans="1:40" x14ac:dyDescent="0.25">
      <c r="A70" s="5" t="s">
        <v>56</v>
      </c>
      <c r="B70" s="74" t="s">
        <v>57</v>
      </c>
      <c r="C70" s="5">
        <v>46</v>
      </c>
      <c r="D70" s="5">
        <v>27</v>
      </c>
      <c r="E70" s="86">
        <v>0.80434779999999995</v>
      </c>
      <c r="F70" s="86">
        <v>0.97826089999999999</v>
      </c>
      <c r="G70" s="86">
        <v>0.8139535</v>
      </c>
      <c r="H70" s="86">
        <v>0.73913039999999997</v>
      </c>
      <c r="I70" s="51">
        <f t="shared" si="15"/>
        <v>19</v>
      </c>
      <c r="J70" s="86">
        <v>0.58695652173913049</v>
      </c>
      <c r="K70" s="86">
        <v>0.41304347826086957</v>
      </c>
      <c r="L70" s="5" t="s">
        <v>189</v>
      </c>
      <c r="M70" s="5" t="s">
        <v>170</v>
      </c>
      <c r="N70" s="50">
        <v>0.75126139999999997</v>
      </c>
      <c r="O70" t="str">
        <f t="shared" si="16"/>
        <v>RKB</v>
      </c>
      <c r="P70" s="22">
        <f t="shared" si="17"/>
        <v>1</v>
      </c>
      <c r="Q70" s="22">
        <f t="shared" si="18"/>
        <v>2</v>
      </c>
      <c r="R70" s="22">
        <f t="shared" si="19"/>
        <v>1</v>
      </c>
      <c r="S70" s="22">
        <f t="shared" si="20"/>
        <v>1</v>
      </c>
      <c r="T70" s="40" t="e">
        <f>IF(#REF!=4, RANK(H70,H$8:H$81,1)+COUNTIF($H$8:H70,H70)-1, IF(#REF!=3, RANK(G70,G$8:G$81,1)+COUNTIF($G$8:G70,G70)-1, IF(#REF!=2, RANK(F70,F$8:F$81,1)+COUNTIF($F$8:F70,F70)-1, IF(#REF!=1, RANK(E70,E$8:E$81,1)+COUNTIF($E$8:E70,E70)-1))))</f>
        <v>#REF!</v>
      </c>
      <c r="U70" s="28" t="e">
        <f>IF(#REF!=4, H70, IF(#REF!=3, G70, IF(#REF!=2, F70, IF(#REF!=1, E70))))</f>
        <v>#REF!</v>
      </c>
      <c r="V70">
        <f t="shared" si="21"/>
        <v>35</v>
      </c>
      <c r="W70" s="9">
        <f t="shared" si="8"/>
        <v>58.695652173913047</v>
      </c>
      <c r="X70">
        <v>43.227240000000002</v>
      </c>
      <c r="Y70">
        <v>73.00254000000001</v>
      </c>
      <c r="Z70">
        <f t="shared" si="9"/>
        <v>15.468412173913045</v>
      </c>
      <c r="AA70">
        <f t="shared" si="10"/>
        <v>29.775300000000009</v>
      </c>
      <c r="AB70" t="s">
        <v>557</v>
      </c>
      <c r="AC70">
        <v>96</v>
      </c>
      <c r="AD70">
        <v>65</v>
      </c>
      <c r="AE70">
        <v>144</v>
      </c>
      <c r="AF70">
        <f t="shared" si="11"/>
        <v>31</v>
      </c>
      <c r="AG70">
        <f t="shared" si="12"/>
        <v>48</v>
      </c>
      <c r="AH70" s="48">
        <v>0.22</v>
      </c>
      <c r="AI70">
        <v>21.62162</v>
      </c>
      <c r="AJ70">
        <v>9.8265599999999989</v>
      </c>
      <c r="AK70">
        <v>38.213650000000001</v>
      </c>
      <c r="AL70">
        <f t="shared" si="13"/>
        <v>11.795060000000001</v>
      </c>
      <c r="AM70">
        <f t="shared" si="14"/>
        <v>16.592030000000001</v>
      </c>
      <c r="AN70">
        <v>38</v>
      </c>
    </row>
    <row r="71" spans="1:40" x14ac:dyDescent="0.25">
      <c r="A71" s="5" t="s">
        <v>336</v>
      </c>
      <c r="B71" s="74" t="s">
        <v>337</v>
      </c>
      <c r="C71" s="5">
        <v>64</v>
      </c>
      <c r="D71" s="5">
        <v>36</v>
      </c>
      <c r="E71" s="86">
        <v>0.984375</v>
      </c>
      <c r="F71" s="86">
        <v>0.984375</v>
      </c>
      <c r="G71" s="86">
        <v>0.9836066</v>
      </c>
      <c r="H71" s="86">
        <v>0.984375</v>
      </c>
      <c r="I71" s="51">
        <f t="shared" si="15"/>
        <v>28</v>
      </c>
      <c r="J71" s="86">
        <v>0.5625</v>
      </c>
      <c r="K71" s="86">
        <v>0.4375</v>
      </c>
      <c r="L71" s="5" t="s">
        <v>407</v>
      </c>
      <c r="M71" s="5" t="s">
        <v>408</v>
      </c>
      <c r="N71" s="50">
        <v>0.59011040000000003</v>
      </c>
      <c r="O71" t="str">
        <f t="shared" si="16"/>
        <v>R0D</v>
      </c>
      <c r="P71" s="22">
        <f t="shared" si="17"/>
        <v>4</v>
      </c>
      <c r="Q71" s="22">
        <f t="shared" si="18"/>
        <v>2</v>
      </c>
      <c r="R71" s="22">
        <f t="shared" si="19"/>
        <v>3</v>
      </c>
      <c r="S71" s="22">
        <f t="shared" si="20"/>
        <v>3</v>
      </c>
      <c r="T71" s="40" t="e">
        <f>IF(#REF!=4, RANK(H71,H$8:H$81,1)+COUNTIF($H$8:H71,H71)-1, IF(#REF!=3, RANK(G71,G$8:G$81,1)+COUNTIF($G$8:G71,G71)-1, IF(#REF!=2, RANK(F71,F$8:F$81,1)+COUNTIF($F$8:F71,F71)-1, IF(#REF!=1, RANK(E71,E$8:E$81,1)+COUNTIF($E$8:E71,E71)-1))))</f>
        <v>#REF!</v>
      </c>
      <c r="U71" s="28" t="e">
        <f>IF(#REF!=4, H71, IF(#REF!=3, G71, IF(#REF!=2, F71, IF(#REF!=1, E71))))</f>
        <v>#REF!</v>
      </c>
      <c r="V71">
        <f t="shared" si="21"/>
        <v>37</v>
      </c>
      <c r="W71" s="9">
        <f t="shared" si="8"/>
        <v>56.25</v>
      </c>
      <c r="X71">
        <v>43.275889999999997</v>
      </c>
      <c r="Y71">
        <v>68.626519999999999</v>
      </c>
      <c r="Z71">
        <f t="shared" si="9"/>
        <v>12.974110000000003</v>
      </c>
      <c r="AA71">
        <f t="shared" si="10"/>
        <v>25.350630000000002</v>
      </c>
      <c r="AB71" t="s">
        <v>558</v>
      </c>
      <c r="AC71">
        <v>81</v>
      </c>
      <c r="AD71">
        <v>48</v>
      </c>
      <c r="AE71">
        <v>148</v>
      </c>
      <c r="AF71">
        <f t="shared" si="11"/>
        <v>33</v>
      </c>
      <c r="AG71">
        <f t="shared" si="12"/>
        <v>67</v>
      </c>
      <c r="AH71" s="48">
        <v>0.35</v>
      </c>
      <c r="AI71">
        <v>34.920639999999999</v>
      </c>
      <c r="AJ71">
        <v>23.337060000000001</v>
      </c>
      <c r="AK71">
        <v>47.973379999999999</v>
      </c>
      <c r="AL71">
        <f t="shared" si="13"/>
        <v>11.583579999999998</v>
      </c>
      <c r="AM71">
        <f t="shared" si="14"/>
        <v>13.05274</v>
      </c>
      <c r="AN71">
        <v>27</v>
      </c>
    </row>
    <row r="72" spans="1:40" x14ac:dyDescent="0.25">
      <c r="A72" s="5" t="s">
        <v>87</v>
      </c>
      <c r="B72" s="74" t="s">
        <v>228</v>
      </c>
      <c r="C72" s="5">
        <v>55</v>
      </c>
      <c r="D72" s="5">
        <v>42</v>
      </c>
      <c r="E72" s="86">
        <v>0.98181819999999997</v>
      </c>
      <c r="F72" s="86">
        <v>0.98181819999999997</v>
      </c>
      <c r="G72" s="86">
        <v>1</v>
      </c>
      <c r="H72" s="86">
        <v>1</v>
      </c>
      <c r="I72" s="51">
        <f t="shared" ref="I72:I77" si="22">C72-D72</f>
        <v>13</v>
      </c>
      <c r="J72" s="86">
        <v>0.76363636363636367</v>
      </c>
      <c r="K72" s="86">
        <v>0.23636363636363636</v>
      </c>
      <c r="L72" s="5" t="s">
        <v>192</v>
      </c>
      <c r="M72" s="5" t="s">
        <v>204</v>
      </c>
      <c r="N72" s="50">
        <v>1.8763479999999999</v>
      </c>
      <c r="O72" t="str">
        <f t="shared" ref="O72:O77" si="23">A72</f>
        <v>RTG</v>
      </c>
      <c r="P72" s="22">
        <f t="shared" ref="P72:P77" si="24">+IF(E72&lt;E$2,1,IF(E72&lt;E$3,2,IF(E72&lt;E$4,3,4)))</f>
        <v>3</v>
      </c>
      <c r="Q72" s="22">
        <f t="shared" ref="Q72:Q77" si="25">+IF(F72&lt;F$2,1,IF(F72&lt;F$3,2,IF(F72&lt;F$4,3,4)))</f>
        <v>2</v>
      </c>
      <c r="R72" s="22">
        <f t="shared" ref="R72:R77" si="26">+IF(G72&lt;G$2,1,IF(G72&lt;G$3,2,IF(G72&lt;G$4,3,4)))</f>
        <v>4</v>
      </c>
      <c r="S72" s="22">
        <f t="shared" ref="S72:S77" si="27">+IF(H72&lt;H$2,1,IF(H72&lt;H$3,2,IF(H72&lt;H$4,3,4)))</f>
        <v>4</v>
      </c>
      <c r="T72" s="40" t="e">
        <f>IF(#REF!=4, RANK(H72,H$8:H$81,1)+COUNTIF($H$8:H72,H72)-1, IF(#REF!=3, RANK(G72,G$8:G$81,1)+COUNTIF($G$8:G72,G72)-1, IF(#REF!=2, RANK(F72,F$8:F$81,1)+COUNTIF($F$8:F72,F72)-1, IF(#REF!=1, RANK(E72,E$8:E$81,1)+COUNTIF($E$8:E72,E72)-1))))</f>
        <v>#REF!</v>
      </c>
      <c r="U72" s="28" t="e">
        <f>IF(#REF!=4, H72, IF(#REF!=3, G72, IF(#REF!=2, F72, IF(#REF!=1, E72))))</f>
        <v>#REF!</v>
      </c>
      <c r="V72">
        <f t="shared" ref="V72:V77" si="28">RANK(J72,$J$8:$J$77)</f>
        <v>18</v>
      </c>
      <c r="W72" s="9">
        <f t="shared" si="8"/>
        <v>76.363636363636374</v>
      </c>
      <c r="X72">
        <v>62.980490000000003</v>
      </c>
      <c r="Y72">
        <v>86.772099999999995</v>
      </c>
      <c r="Z72">
        <f t="shared" si="9"/>
        <v>13.383146363636371</v>
      </c>
      <c r="AA72">
        <f t="shared" si="10"/>
        <v>23.791609999999991</v>
      </c>
      <c r="AB72" t="s">
        <v>559</v>
      </c>
      <c r="AC72">
        <v>101</v>
      </c>
      <c r="AD72">
        <v>53</v>
      </c>
      <c r="AE72">
        <v>148</v>
      </c>
      <c r="AF72">
        <f t="shared" si="11"/>
        <v>48</v>
      </c>
      <c r="AG72">
        <f t="shared" si="12"/>
        <v>47</v>
      </c>
      <c r="AH72" s="48">
        <v>0.31</v>
      </c>
      <c r="AI72">
        <v>31.481480000000001</v>
      </c>
      <c r="AJ72">
        <v>19.52394</v>
      </c>
      <c r="AK72">
        <v>45.552399999999999</v>
      </c>
      <c r="AL72">
        <f t="shared" si="13"/>
        <v>11.957540000000002</v>
      </c>
      <c r="AM72">
        <f t="shared" si="14"/>
        <v>14.070919999999997</v>
      </c>
      <c r="AN72">
        <v>42</v>
      </c>
    </row>
    <row r="73" spans="1:40" x14ac:dyDescent="0.25">
      <c r="A73" s="5" t="s">
        <v>99</v>
      </c>
      <c r="B73" s="74" t="s">
        <v>100</v>
      </c>
      <c r="C73" s="5">
        <v>44</v>
      </c>
      <c r="D73" s="5">
        <v>32</v>
      </c>
      <c r="E73" s="86">
        <v>0.72727269999999999</v>
      </c>
      <c r="F73" s="86">
        <v>1</v>
      </c>
      <c r="G73" s="86">
        <v>0.76190480000000005</v>
      </c>
      <c r="H73" s="86">
        <v>0.84090909999999996</v>
      </c>
      <c r="I73" s="51">
        <f t="shared" si="22"/>
        <v>12</v>
      </c>
      <c r="J73" s="86">
        <v>0.72727272727272729</v>
      </c>
      <c r="K73" s="86">
        <v>0.27272727272727271</v>
      </c>
      <c r="L73" s="5" t="s">
        <v>193</v>
      </c>
      <c r="M73" s="5" t="s">
        <v>442</v>
      </c>
      <c r="N73" s="50">
        <v>1.836525</v>
      </c>
      <c r="O73" t="str">
        <f t="shared" si="23"/>
        <v>RWE</v>
      </c>
      <c r="P73" s="22">
        <f t="shared" si="24"/>
        <v>1</v>
      </c>
      <c r="Q73" s="22">
        <f t="shared" si="25"/>
        <v>4</v>
      </c>
      <c r="R73" s="22">
        <f t="shared" si="26"/>
        <v>1</v>
      </c>
      <c r="S73" s="22">
        <f t="shared" si="27"/>
        <v>2</v>
      </c>
      <c r="T73" s="40" t="e">
        <f>IF(#REF!=4, RANK(H73,H$8:H$81,1)+COUNTIF($H$8:H73,H73)-1, IF(#REF!=3, RANK(G73,G$8:G$81,1)+COUNTIF($G$8:G73,G73)-1, IF(#REF!=2, RANK(F73,F$8:F$81,1)+COUNTIF($F$8:F73,F73)-1, IF(#REF!=1, RANK(E73,E$8:E$81,1)+COUNTIF($E$8:E73,E73)-1))))</f>
        <v>#REF!</v>
      </c>
      <c r="U73" s="28" t="e">
        <f>IF(#REF!=4, H73, IF(#REF!=3, G73, IF(#REF!=2, F73, IF(#REF!=1, E73))))</f>
        <v>#REF!</v>
      </c>
      <c r="V73">
        <f t="shared" si="28"/>
        <v>19</v>
      </c>
      <c r="W73" s="9">
        <f t="shared" ref="W73:W77" si="29">J73*100</f>
        <v>72.727272727272734</v>
      </c>
      <c r="X73">
        <v>57.210360000000001</v>
      </c>
      <c r="Y73">
        <v>85.042320000000004</v>
      </c>
      <c r="Z73">
        <f t="shared" ref="Z73:Z77" si="30">W73-X73</f>
        <v>15.516912727272732</v>
      </c>
      <c r="AA73">
        <f t="shared" ref="AA73:AA77" si="31">Y73-X73</f>
        <v>27.831960000000002</v>
      </c>
      <c r="AB73" t="s">
        <v>560</v>
      </c>
      <c r="AC73">
        <v>100</v>
      </c>
      <c r="AD73">
        <v>67</v>
      </c>
      <c r="AE73">
        <v>219</v>
      </c>
      <c r="AF73">
        <f t="shared" ref="AF73:AF77" si="32">AC73-AD73</f>
        <v>33</v>
      </c>
      <c r="AG73">
        <f t="shared" ref="AG73:AG77" si="33">AE73-AC73</f>
        <v>119</v>
      </c>
      <c r="AH73" s="48">
        <v>0.16</v>
      </c>
      <c r="AI73">
        <v>15.625</v>
      </c>
      <c r="AJ73">
        <v>5.2750599999999999</v>
      </c>
      <c r="AK73">
        <v>32.787880000000001</v>
      </c>
      <c r="AL73">
        <f t="shared" ref="AL73:AL77" si="34">AI73-AJ73</f>
        <v>10.34994</v>
      </c>
      <c r="AM73">
        <f t="shared" ref="AM73:AM77" si="35">AK73-AI73</f>
        <v>17.162880000000001</v>
      </c>
      <c r="AN73">
        <v>41</v>
      </c>
    </row>
    <row r="74" spans="1:40" x14ac:dyDescent="0.25">
      <c r="A74" s="5" t="s">
        <v>55</v>
      </c>
      <c r="B74" s="74" t="s">
        <v>159</v>
      </c>
      <c r="C74" s="5">
        <v>29</v>
      </c>
      <c r="D74" s="5">
        <v>16</v>
      </c>
      <c r="E74" s="86">
        <v>1</v>
      </c>
      <c r="F74" s="86">
        <v>1</v>
      </c>
      <c r="G74" s="86">
        <v>1</v>
      </c>
      <c r="H74" s="86">
        <v>0.96551719999999996</v>
      </c>
      <c r="I74" s="51">
        <f t="shared" si="22"/>
        <v>13</v>
      </c>
      <c r="J74" s="86">
        <v>0.55172413793103448</v>
      </c>
      <c r="K74" s="86">
        <v>0.44827586206896552</v>
      </c>
      <c r="L74" s="5" t="s">
        <v>427</v>
      </c>
      <c r="M74" s="5" t="s">
        <v>195</v>
      </c>
      <c r="N74" s="50">
        <v>0.95330250000000005</v>
      </c>
      <c r="O74" t="str">
        <f t="shared" si="23"/>
        <v>RK9</v>
      </c>
      <c r="P74" s="22">
        <f t="shared" si="24"/>
        <v>4</v>
      </c>
      <c r="Q74" s="22">
        <f t="shared" si="25"/>
        <v>4</v>
      </c>
      <c r="R74" s="22">
        <f t="shared" si="26"/>
        <v>4</v>
      </c>
      <c r="S74" s="22">
        <f t="shared" si="27"/>
        <v>3</v>
      </c>
      <c r="T74" s="40" t="e">
        <f>IF(#REF!=4, RANK(H74,H$8:H$81,1)+COUNTIF($H$8:H74,H74)-1, IF(#REF!=3, RANK(G74,G$8:G$81,1)+COUNTIF($G$8:G74,G74)-1, IF(#REF!=2, RANK(F74,F$8:F$81,1)+COUNTIF($F$8:F74,F74)-1, IF(#REF!=1, RANK(E74,E$8:E$81,1)+COUNTIF($E$8:E74,E74)-1))))</f>
        <v>#REF!</v>
      </c>
      <c r="U74" s="28" t="e">
        <f>IF(#REF!=4, H74, IF(#REF!=3, G74, IF(#REF!=2, F74, IF(#REF!=1, E74))))</f>
        <v>#REF!</v>
      </c>
      <c r="V74">
        <f t="shared" si="28"/>
        <v>39</v>
      </c>
      <c r="W74" s="9">
        <f t="shared" si="29"/>
        <v>55.172413793103445</v>
      </c>
      <c r="X74">
        <v>35.693869999999997</v>
      </c>
      <c r="Y74">
        <v>73.554470000000009</v>
      </c>
      <c r="Z74">
        <f t="shared" si="30"/>
        <v>19.478543793103448</v>
      </c>
      <c r="AA74">
        <f t="shared" si="31"/>
        <v>37.860600000000012</v>
      </c>
      <c r="AB74" t="s">
        <v>561</v>
      </c>
      <c r="AC74">
        <v>63</v>
      </c>
      <c r="AD74">
        <v>35</v>
      </c>
      <c r="AE74">
        <v>89</v>
      </c>
      <c r="AF74">
        <f t="shared" si="32"/>
        <v>28</v>
      </c>
      <c r="AG74">
        <f t="shared" si="33"/>
        <v>26</v>
      </c>
      <c r="AH74" s="48">
        <v>0.48</v>
      </c>
      <c r="AI74">
        <v>48.275860000000002</v>
      </c>
      <c r="AJ74">
        <v>29.448560000000001</v>
      </c>
      <c r="AK74">
        <v>67.468499999999992</v>
      </c>
      <c r="AL74">
        <f t="shared" si="34"/>
        <v>18.827300000000001</v>
      </c>
      <c r="AM74">
        <f t="shared" si="35"/>
        <v>19.19263999999999</v>
      </c>
      <c r="AN74">
        <v>8</v>
      </c>
    </row>
    <row r="75" spans="1:40" x14ac:dyDescent="0.25">
      <c r="A75" s="5" t="s">
        <v>101</v>
      </c>
      <c r="B75" s="74" t="s">
        <v>102</v>
      </c>
      <c r="C75" s="5">
        <v>17</v>
      </c>
      <c r="D75" s="5">
        <v>17</v>
      </c>
      <c r="E75" s="86">
        <v>1</v>
      </c>
      <c r="F75" s="86">
        <v>1</v>
      </c>
      <c r="G75" s="86">
        <v>1</v>
      </c>
      <c r="H75" s="86">
        <v>0.70588240000000002</v>
      </c>
      <c r="I75" s="51">
        <f t="shared" si="22"/>
        <v>0</v>
      </c>
      <c r="J75" s="86">
        <v>1</v>
      </c>
      <c r="K75" s="86">
        <v>0</v>
      </c>
      <c r="L75" s="5" t="s">
        <v>187</v>
      </c>
      <c r="M75" s="5" t="s">
        <v>411</v>
      </c>
      <c r="N75" s="50">
        <v>2.7558579999999999</v>
      </c>
      <c r="O75" t="str">
        <f t="shared" si="23"/>
        <v>RWG</v>
      </c>
      <c r="P75" s="22">
        <f t="shared" si="24"/>
        <v>4</v>
      </c>
      <c r="Q75" s="22">
        <f t="shared" si="25"/>
        <v>4</v>
      </c>
      <c r="R75" s="22">
        <f t="shared" si="26"/>
        <v>4</v>
      </c>
      <c r="S75" s="22">
        <f t="shared" si="27"/>
        <v>1</v>
      </c>
      <c r="T75" s="40" t="e">
        <f>IF(#REF!=4, RANK(H75,H$8:H$81,1)+COUNTIF($H$8:H75,H75)-1, IF(#REF!=3, RANK(G75,G$8:G$81,1)+COUNTIF($G$8:G75,G75)-1, IF(#REF!=2, RANK(F75,F$8:F$81,1)+COUNTIF($F$8:F75,F75)-1, IF(#REF!=1, RANK(E75,E$8:E$81,1)+COUNTIF($E$8:E75,E75)-1))))</f>
        <v>#REF!</v>
      </c>
      <c r="U75" s="28" t="e">
        <f>IF(#REF!=4, H75, IF(#REF!=3, G75, IF(#REF!=2, F75, IF(#REF!=1, E75))))</f>
        <v>#REF!</v>
      </c>
      <c r="V75">
        <f t="shared" si="28"/>
        <v>1</v>
      </c>
      <c r="W75" s="9">
        <f t="shared" si="29"/>
        <v>100</v>
      </c>
      <c r="X75">
        <v>80.493570000000005</v>
      </c>
      <c r="Y75">
        <v>100</v>
      </c>
      <c r="Z75">
        <f t="shared" si="30"/>
        <v>19.506429999999995</v>
      </c>
      <c r="AA75">
        <f t="shared" si="31"/>
        <v>19.506429999999995</v>
      </c>
      <c r="AB75" t="s">
        <v>562</v>
      </c>
      <c r="AC75">
        <v>127</v>
      </c>
      <c r="AD75">
        <v>48</v>
      </c>
      <c r="AE75">
        <v>247</v>
      </c>
      <c r="AF75">
        <f t="shared" si="32"/>
        <v>79</v>
      </c>
      <c r="AG75">
        <f t="shared" si="33"/>
        <v>120</v>
      </c>
      <c r="AH75" s="48">
        <v>0.28999999999999998</v>
      </c>
      <c r="AI75">
        <v>29.411769999999997</v>
      </c>
      <c r="AJ75">
        <v>10.313550000000001</v>
      </c>
      <c r="AK75">
        <v>55.958269999999999</v>
      </c>
      <c r="AL75">
        <f t="shared" si="34"/>
        <v>19.098219999999998</v>
      </c>
      <c r="AM75">
        <f t="shared" si="35"/>
        <v>26.546500000000002</v>
      </c>
      <c r="AN75">
        <v>52</v>
      </c>
    </row>
    <row r="76" spans="1:40" x14ac:dyDescent="0.25">
      <c r="A76" s="5" t="s">
        <v>105</v>
      </c>
      <c r="B76" s="74" t="s">
        <v>106</v>
      </c>
      <c r="C76" s="5">
        <v>51</v>
      </c>
      <c r="D76" s="5">
        <v>26</v>
      </c>
      <c r="E76" s="86">
        <v>1</v>
      </c>
      <c r="F76" s="86">
        <v>1</v>
      </c>
      <c r="G76" s="86">
        <v>1</v>
      </c>
      <c r="H76" s="86">
        <v>0.92156859999999996</v>
      </c>
      <c r="I76" s="51">
        <f t="shared" si="22"/>
        <v>25</v>
      </c>
      <c r="J76" s="86">
        <v>0.50980392156862742</v>
      </c>
      <c r="K76" s="86">
        <v>0.49019607843137253</v>
      </c>
      <c r="L76" s="5" t="s">
        <v>202</v>
      </c>
      <c r="M76" s="5" t="s">
        <v>196</v>
      </c>
      <c r="N76" s="50">
        <v>0.73644089999999995</v>
      </c>
      <c r="O76" t="str">
        <f t="shared" si="23"/>
        <v>RWP</v>
      </c>
      <c r="P76" s="22">
        <f t="shared" si="24"/>
        <v>4</v>
      </c>
      <c r="Q76" s="22">
        <f t="shared" si="25"/>
        <v>4</v>
      </c>
      <c r="R76" s="22">
        <f t="shared" si="26"/>
        <v>4</v>
      </c>
      <c r="S76" s="22">
        <f t="shared" si="27"/>
        <v>2</v>
      </c>
      <c r="T76" s="40" t="e">
        <f>IF(#REF!=4, RANK(H76,H$8:H$81,1)+COUNTIF($H$8:H76,H76)-1, IF(#REF!=3, RANK(G76,G$8:G$81,1)+COUNTIF($G$8:G76,G76)-1, IF(#REF!=2, RANK(F76,F$8:F$81,1)+COUNTIF($F$8:F76,F76)-1, IF(#REF!=1, RANK(E76,E$8:E$81,1)+COUNTIF($E$8:E76,E76)-1))))</f>
        <v>#REF!</v>
      </c>
      <c r="U76" s="28" t="e">
        <f>IF(#REF!=4, H76, IF(#REF!=3, G76, IF(#REF!=2, F76, IF(#REF!=1, E76))))</f>
        <v>#REF!</v>
      </c>
      <c r="V76">
        <f t="shared" si="28"/>
        <v>46</v>
      </c>
      <c r="W76" s="9">
        <f t="shared" si="29"/>
        <v>50.980392156862742</v>
      </c>
      <c r="X76">
        <v>36.595709999999997</v>
      </c>
      <c r="Y76">
        <v>65.247200000000007</v>
      </c>
      <c r="Z76">
        <f t="shared" si="30"/>
        <v>14.384682156862745</v>
      </c>
      <c r="AA76">
        <f t="shared" si="31"/>
        <v>28.65149000000001</v>
      </c>
      <c r="AB76" t="s">
        <v>563</v>
      </c>
      <c r="AC76">
        <v>53</v>
      </c>
      <c r="AD76">
        <v>33</v>
      </c>
      <c r="AE76">
        <v>95</v>
      </c>
      <c r="AF76">
        <f t="shared" si="32"/>
        <v>20</v>
      </c>
      <c r="AG76">
        <f t="shared" si="33"/>
        <v>42</v>
      </c>
      <c r="AH76" s="48">
        <v>0.55000000000000004</v>
      </c>
      <c r="AI76">
        <v>54.901960000000003</v>
      </c>
      <c r="AJ76">
        <v>40.341880000000003</v>
      </c>
      <c r="AK76">
        <v>68.872500000000002</v>
      </c>
      <c r="AL76">
        <f t="shared" si="34"/>
        <v>14.560079999999999</v>
      </c>
      <c r="AM76">
        <f t="shared" si="35"/>
        <v>13.97054</v>
      </c>
      <c r="AN76">
        <v>5</v>
      </c>
    </row>
    <row r="77" spans="1:40" x14ac:dyDescent="0.25">
      <c r="A77" s="5" t="s">
        <v>22</v>
      </c>
      <c r="B77" s="74" t="s">
        <v>23</v>
      </c>
      <c r="C77" s="5">
        <v>49</v>
      </c>
      <c r="D77" s="5">
        <v>20</v>
      </c>
      <c r="E77" s="86">
        <v>0.85714290000000004</v>
      </c>
      <c r="F77" s="86">
        <v>1</v>
      </c>
      <c r="G77" s="86">
        <v>0.92307689999999998</v>
      </c>
      <c r="H77" s="86">
        <v>0.77551020000000004</v>
      </c>
      <c r="I77" s="51">
        <f t="shared" si="22"/>
        <v>29</v>
      </c>
      <c r="J77" s="86">
        <v>0.40816326530612246</v>
      </c>
      <c r="K77" s="86">
        <v>0.59183673469387754</v>
      </c>
      <c r="L77" s="5" t="s">
        <v>420</v>
      </c>
      <c r="M77" s="5" t="s">
        <v>191</v>
      </c>
      <c r="N77" s="50">
        <v>2.026567</v>
      </c>
      <c r="O77" t="str">
        <f t="shared" si="23"/>
        <v>RCB</v>
      </c>
      <c r="P77" s="22">
        <f t="shared" si="24"/>
        <v>2</v>
      </c>
      <c r="Q77" s="22">
        <f t="shared" si="25"/>
        <v>4</v>
      </c>
      <c r="R77" s="22">
        <f t="shared" si="26"/>
        <v>2</v>
      </c>
      <c r="S77" s="22">
        <f t="shared" si="27"/>
        <v>1</v>
      </c>
      <c r="T77" s="40" t="e">
        <f>IF(#REF!=4, RANK(H77,H$8:H$81,1)+COUNTIF($H$8:H77,H77)-1, IF(#REF!=3, RANK(G77,G$8:G$81,1)+COUNTIF($G$8:G77,G77)-1, IF(#REF!=2, RANK(F77,F$8:F$81,1)+COUNTIF($F$8:F77,F77)-1, IF(#REF!=1, RANK(E77,E$8:E$81,1)+COUNTIF($E$8:E77,E77)-1))))</f>
        <v>#REF!</v>
      </c>
      <c r="U77" s="28" t="e">
        <f>IF(#REF!=4, H77, IF(#REF!=3, G77, IF(#REF!=2, F77, IF(#REF!=1, E77))))</f>
        <v>#REF!</v>
      </c>
      <c r="V77">
        <f t="shared" si="28"/>
        <v>55</v>
      </c>
      <c r="W77" s="9">
        <f t="shared" si="29"/>
        <v>40.816326530612244</v>
      </c>
      <c r="X77">
        <v>26.996700000000001</v>
      </c>
      <c r="Y77">
        <v>55.787059999999997</v>
      </c>
      <c r="Z77">
        <f t="shared" si="30"/>
        <v>13.819626530612243</v>
      </c>
      <c r="AA77">
        <f t="shared" si="31"/>
        <v>28.790359999999996</v>
      </c>
      <c r="AB77" t="s">
        <v>564</v>
      </c>
      <c r="AC77">
        <v>113</v>
      </c>
      <c r="AD77">
        <v>68</v>
      </c>
      <c r="AE77">
        <v>177</v>
      </c>
      <c r="AF77">
        <f t="shared" si="32"/>
        <v>45</v>
      </c>
      <c r="AG77">
        <f t="shared" si="33"/>
        <v>64</v>
      </c>
      <c r="AH77" s="48">
        <v>0.21</v>
      </c>
      <c r="AI77">
        <v>21.428570000000001</v>
      </c>
      <c r="AJ77">
        <v>10.295959999999999</v>
      </c>
      <c r="AK77">
        <v>36.81156</v>
      </c>
      <c r="AL77">
        <f t="shared" si="34"/>
        <v>11.132610000000001</v>
      </c>
      <c r="AM77">
        <f t="shared" si="35"/>
        <v>15.382989999999999</v>
      </c>
      <c r="AN77">
        <v>45</v>
      </c>
    </row>
  </sheetData>
  <sortState ref="A8:V78">
    <sortCondition ref="B8"/>
  </sortState>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0"/>
  <sheetViews>
    <sheetView showGridLines="0" zoomScaleNormal="100" workbookViewId="0">
      <selection activeCell="B1" sqref="B1"/>
    </sheetView>
  </sheetViews>
  <sheetFormatPr defaultRowHeight="15" x14ac:dyDescent="0.25"/>
  <cols>
    <col min="1" max="1" width="12.42578125" bestFit="1" customWidth="1"/>
    <col min="2" max="2" width="65.140625" bestFit="1" customWidth="1"/>
    <col min="4" max="4" width="21.5703125" customWidth="1"/>
    <col min="5" max="5" width="13.140625" customWidth="1"/>
    <col min="6" max="6" width="17.28515625" customWidth="1"/>
    <col min="7" max="7" width="13.85546875" customWidth="1"/>
    <col min="8" max="8" width="11.42578125" customWidth="1"/>
    <col min="9" max="9" width="15.28515625" customWidth="1"/>
    <col min="10" max="10" width="13.42578125" customWidth="1"/>
    <col min="11" max="11" width="12.140625" customWidth="1"/>
    <col min="12" max="12" width="14.7109375" customWidth="1"/>
    <col min="13" max="13" width="15.28515625" customWidth="1"/>
    <col min="15" max="15" width="9.140625" style="22"/>
    <col min="16" max="26" width="9.140625" style="128"/>
    <col min="27" max="27" width="13.42578125" style="128" bestFit="1" customWidth="1"/>
    <col min="28" max="28" width="12.7109375" style="128" bestFit="1" customWidth="1"/>
    <col min="29" max="29" width="13.85546875" style="128" bestFit="1" customWidth="1"/>
    <col min="30" max="30" width="12.28515625" style="128" bestFit="1" customWidth="1"/>
    <col min="31" max="32" width="9.140625" style="128"/>
    <col min="33" max="42" width="9.140625" style="210"/>
    <col min="43" max="58" width="9.140625" style="128"/>
  </cols>
  <sheetData>
    <row r="1" spans="1:47" ht="31.5" customHeight="1" x14ac:dyDescent="0.25">
      <c r="A1" s="12" t="s">
        <v>229</v>
      </c>
      <c r="B1" s="13" t="s">
        <v>7</v>
      </c>
      <c r="D1" s="23" t="s">
        <v>252</v>
      </c>
      <c r="E1" s="243" t="s">
        <v>991</v>
      </c>
      <c r="F1" s="243"/>
      <c r="G1" s="243"/>
      <c r="AA1" s="200" t="s">
        <v>471</v>
      </c>
      <c r="AB1" s="217" t="s">
        <v>396</v>
      </c>
      <c r="AC1" s="217" t="s">
        <v>397</v>
      </c>
      <c r="AD1" s="218" t="s">
        <v>398</v>
      </c>
      <c r="AF1" s="219" t="s">
        <v>139</v>
      </c>
      <c r="AG1" s="223" t="s">
        <v>385</v>
      </c>
      <c r="AH1" s="223" t="s">
        <v>992</v>
      </c>
      <c r="AI1" s="223" t="s">
        <v>993</v>
      </c>
      <c r="AJ1" s="223" t="s">
        <v>994</v>
      </c>
      <c r="AK1" s="223" t="s">
        <v>995</v>
      </c>
      <c r="AL1" s="223" t="s">
        <v>399</v>
      </c>
      <c r="AM1" s="223" t="s">
        <v>400</v>
      </c>
      <c r="AN1" s="223" t="s">
        <v>401</v>
      </c>
      <c r="AO1" s="223" t="s">
        <v>403</v>
      </c>
      <c r="AQ1" s="204" t="s">
        <v>385</v>
      </c>
      <c r="AR1" s="204" t="s">
        <v>398</v>
      </c>
      <c r="AS1" s="208" t="s">
        <v>471</v>
      </c>
      <c r="AT1" s="208" t="s">
        <v>470</v>
      </c>
      <c r="AU1" s="208" t="s">
        <v>473</v>
      </c>
    </row>
    <row r="2" spans="1:47" x14ac:dyDescent="0.25">
      <c r="AA2" s="128">
        <f>VLOOKUP($B$1,'LL Revasc Data'!$B:$AB,21,FALSE)</f>
        <v>60</v>
      </c>
      <c r="AB2" s="128">
        <f>VLOOKUP($B$1,'LL Revasc Data'!$B:$AB,23,FALSE)</f>
        <v>34</v>
      </c>
      <c r="AC2" s="128">
        <f>VLOOKUP($B$1,'LL Revasc Data'!$B:$AB,22,FALSE)</f>
        <v>28</v>
      </c>
      <c r="AD2" s="128">
        <f>VLOOKUP($B$1,'LL Revasc Data'!$B:$AB,10,FALSE)</f>
        <v>22</v>
      </c>
      <c r="AF2" s="128" t="s">
        <v>294</v>
      </c>
      <c r="AG2" s="210" t="s">
        <v>96</v>
      </c>
      <c r="AH2" s="220">
        <v>126</v>
      </c>
      <c r="AI2" s="220">
        <v>19</v>
      </c>
      <c r="AJ2" s="220">
        <v>397</v>
      </c>
      <c r="AK2" s="220">
        <v>542</v>
      </c>
      <c r="AL2" s="220">
        <v>0.23247232472324722</v>
      </c>
      <c r="AM2" s="220">
        <v>3.5055350553505532E-2</v>
      </c>
      <c r="AN2" s="220">
        <v>0.73247232472324719</v>
      </c>
      <c r="AO2" s="220">
        <v>1</v>
      </c>
      <c r="AQ2" s="128" t="s">
        <v>123</v>
      </c>
      <c r="AR2" s="216">
        <v>1</v>
      </c>
      <c r="AS2" s="128">
        <f>VLOOKUP($AQ2,'LL Revasc Data'!$A:$X,22,FALSE)</f>
        <v>81</v>
      </c>
      <c r="AT2" s="128">
        <f>VLOOKUP($AQ2,'LL Revasc Data'!$A:$X,23,FALSE)</f>
        <v>13</v>
      </c>
      <c r="AU2" s="128">
        <f>VLOOKUP($AQ2,'LL Revasc Data'!$A:$X,24,FALSE)</f>
        <v>19</v>
      </c>
    </row>
    <row r="3" spans="1:47" x14ac:dyDescent="0.25">
      <c r="P3" s="128">
        <f>MATCH(E1,'LL Revasc Data'!$D$1:$E$1,0)</f>
        <v>2</v>
      </c>
      <c r="AF3" s="128" t="s">
        <v>46</v>
      </c>
      <c r="AG3" s="210" t="s">
        <v>45</v>
      </c>
      <c r="AH3" s="220">
        <v>65</v>
      </c>
      <c r="AI3" s="220">
        <v>91</v>
      </c>
      <c r="AJ3" s="220">
        <v>385</v>
      </c>
      <c r="AK3" s="220">
        <v>541</v>
      </c>
      <c r="AL3" s="220">
        <v>0.12014787430683918</v>
      </c>
      <c r="AM3" s="220">
        <v>0.16820702402957485</v>
      </c>
      <c r="AN3" s="220">
        <v>0.71164510166358597</v>
      </c>
      <c r="AO3" s="220">
        <v>2</v>
      </c>
      <c r="AQ3" s="128" t="s">
        <v>348</v>
      </c>
      <c r="AR3" s="216">
        <v>2</v>
      </c>
      <c r="AS3" s="128">
        <f>VLOOKUP($AQ3,'LL Revasc Data'!$A:$X,22,FALSE)</f>
        <v>77</v>
      </c>
      <c r="AT3" s="128">
        <f>VLOOKUP($AQ3,'LL Revasc Data'!$A:$X,23,FALSE)</f>
        <v>10</v>
      </c>
      <c r="AU3" s="128">
        <f>VLOOKUP($AQ3,'LL Revasc Data'!$A:$X,24,FALSE)</f>
        <v>13</v>
      </c>
    </row>
    <row r="4" spans="1:47" x14ac:dyDescent="0.25">
      <c r="AF4" s="128" t="s">
        <v>84</v>
      </c>
      <c r="AG4" s="210" t="s">
        <v>83</v>
      </c>
      <c r="AH4" s="220">
        <v>122</v>
      </c>
      <c r="AI4" s="220">
        <v>76</v>
      </c>
      <c r="AJ4" s="220">
        <v>307</v>
      </c>
      <c r="AK4" s="220">
        <v>505</v>
      </c>
      <c r="AL4" s="220">
        <v>0.24158415841584158</v>
      </c>
      <c r="AM4" s="220">
        <v>0.15049504950495049</v>
      </c>
      <c r="AN4" s="220">
        <v>0.60792079207920791</v>
      </c>
      <c r="AO4" s="220">
        <v>3</v>
      </c>
      <c r="AQ4" s="128" t="s">
        <v>103</v>
      </c>
      <c r="AR4" s="216">
        <v>3</v>
      </c>
      <c r="AS4" s="128">
        <f>VLOOKUP($AQ4,'LL Revasc Data'!$A:$X,22,FALSE)</f>
        <v>75</v>
      </c>
      <c r="AT4" s="128">
        <f>VLOOKUP($AQ4,'LL Revasc Data'!$A:$X,23,FALSE)</f>
        <v>14</v>
      </c>
      <c r="AU4" s="128">
        <f>VLOOKUP($AQ4,'LL Revasc Data'!$A:$X,24,FALSE)</f>
        <v>18.000000000000007</v>
      </c>
    </row>
    <row r="5" spans="1:47" x14ac:dyDescent="0.25">
      <c r="AA5" s="204" t="s">
        <v>404</v>
      </c>
      <c r="AB5" s="204" t="s">
        <v>474</v>
      </c>
      <c r="AC5" s="204" t="s">
        <v>475</v>
      </c>
      <c r="AD5" s="204" t="s">
        <v>476</v>
      </c>
      <c r="AF5" s="128" t="s">
        <v>114</v>
      </c>
      <c r="AG5" s="210" t="s">
        <v>113</v>
      </c>
      <c r="AH5" s="220">
        <v>124</v>
      </c>
      <c r="AI5" s="220">
        <v>78</v>
      </c>
      <c r="AJ5" s="220">
        <v>219</v>
      </c>
      <c r="AK5" s="220">
        <v>421</v>
      </c>
      <c r="AL5" s="220">
        <v>0.29453681710213775</v>
      </c>
      <c r="AM5" s="220">
        <v>0.18527315914489312</v>
      </c>
      <c r="AN5" s="220">
        <v>0.52019002375296908</v>
      </c>
      <c r="AO5" s="220">
        <v>4</v>
      </c>
      <c r="AQ5" s="128" t="s">
        <v>115</v>
      </c>
      <c r="AR5" s="216">
        <v>4</v>
      </c>
      <c r="AS5" s="128">
        <f>VLOOKUP($AQ5,'LL Revasc Data'!$A:$X,22,FALSE)</f>
        <v>73</v>
      </c>
      <c r="AT5" s="128">
        <f>VLOOKUP($AQ5,'LL Revasc Data'!$A:$X,23,FALSE)</f>
        <v>11</v>
      </c>
      <c r="AU5" s="128">
        <f>VLOOKUP($AQ5,'LL Revasc Data'!$A:$X,24,FALSE)</f>
        <v>14</v>
      </c>
    </row>
    <row r="6" spans="1:47" x14ac:dyDescent="0.25">
      <c r="AA6" s="128">
        <f>VLOOKUP($B$1,$AF:$AO,10,FALSE)</f>
        <v>59</v>
      </c>
      <c r="AB6" s="128">
        <f>VLOOKUP($B$1,$AF:$AO,3,FALSE)</f>
        <v>15</v>
      </c>
      <c r="AC6" s="128">
        <f>VLOOKUP($B$1,$AF:$AO,4,FALSE)</f>
        <v>3</v>
      </c>
      <c r="AD6" s="128">
        <f>VLOOKUP($B$1,$AF:$AO,5,FALSE)</f>
        <v>38</v>
      </c>
      <c r="AF6" s="128" t="s">
        <v>78</v>
      </c>
      <c r="AG6" s="210" t="s">
        <v>77</v>
      </c>
      <c r="AH6" s="220">
        <v>122</v>
      </c>
      <c r="AI6" s="220">
        <v>64</v>
      </c>
      <c r="AJ6" s="220">
        <v>223</v>
      </c>
      <c r="AK6" s="220">
        <v>409</v>
      </c>
      <c r="AL6" s="220">
        <v>0.2982885085574572</v>
      </c>
      <c r="AM6" s="220">
        <v>0.15647921760391198</v>
      </c>
      <c r="AN6" s="220">
        <v>0.54523227383863082</v>
      </c>
      <c r="AO6" s="220">
        <v>5</v>
      </c>
      <c r="AQ6" s="128" t="s">
        <v>125</v>
      </c>
      <c r="AR6" s="216">
        <v>5</v>
      </c>
      <c r="AS6" s="128">
        <f>VLOOKUP($AQ6,'LL Revasc Data'!$A:$X,22,FALSE)</f>
        <v>70</v>
      </c>
      <c r="AT6" s="128">
        <f>VLOOKUP($AQ6,'LL Revasc Data'!$A:$X,23,FALSE)</f>
        <v>18</v>
      </c>
      <c r="AU6" s="128">
        <f>VLOOKUP($AQ6,'LL Revasc Data'!$A:$X,24,FALSE)</f>
        <v>24</v>
      </c>
    </row>
    <row r="7" spans="1:47" x14ac:dyDescent="0.25">
      <c r="AF7" s="128" t="s">
        <v>160</v>
      </c>
      <c r="AG7" s="210" t="s">
        <v>24</v>
      </c>
      <c r="AH7" s="220">
        <v>46</v>
      </c>
      <c r="AI7" s="220">
        <v>48</v>
      </c>
      <c r="AJ7" s="220">
        <v>308</v>
      </c>
      <c r="AK7" s="220">
        <v>402</v>
      </c>
      <c r="AL7" s="220">
        <v>0.11442786069651742</v>
      </c>
      <c r="AM7" s="220">
        <v>0.11940298507462686</v>
      </c>
      <c r="AN7" s="220">
        <v>0.76616915422885568</v>
      </c>
      <c r="AO7" s="220">
        <v>6</v>
      </c>
      <c r="AQ7" s="128" t="s">
        <v>60</v>
      </c>
      <c r="AR7" s="216">
        <v>6</v>
      </c>
      <c r="AS7" s="128">
        <f>VLOOKUP($AQ7,'LL Revasc Data'!$A:$X,22,FALSE)</f>
        <v>67</v>
      </c>
      <c r="AT7" s="128">
        <f>VLOOKUP($AQ7,'LL Revasc Data'!$A:$X,23,FALSE)</f>
        <v>9</v>
      </c>
      <c r="AU7" s="128">
        <f>VLOOKUP($AQ7,'LL Revasc Data'!$A:$X,24,FALSE)</f>
        <v>9.0000000000000071</v>
      </c>
    </row>
    <row r="8" spans="1:47" x14ac:dyDescent="0.25">
      <c r="AF8" s="128" t="s">
        <v>349</v>
      </c>
      <c r="AG8" s="210" t="s">
        <v>348</v>
      </c>
      <c r="AH8" s="220">
        <v>129</v>
      </c>
      <c r="AI8" s="220">
        <v>11</v>
      </c>
      <c r="AJ8" s="220">
        <v>245</v>
      </c>
      <c r="AK8" s="220">
        <v>385</v>
      </c>
      <c r="AL8" s="220">
        <v>0.33506493506493507</v>
      </c>
      <c r="AM8" s="220">
        <v>2.8571428571428571E-2</v>
      </c>
      <c r="AN8" s="220">
        <v>0.63636363636363635</v>
      </c>
      <c r="AO8" s="220">
        <v>7</v>
      </c>
      <c r="AQ8" s="128" t="s">
        <v>117</v>
      </c>
      <c r="AR8" s="216">
        <v>7</v>
      </c>
      <c r="AS8" s="128">
        <f>VLOOKUP($AQ8,'LL Revasc Data'!$A:$X,22,FALSE)</f>
        <v>66</v>
      </c>
      <c r="AT8" s="128">
        <f>VLOOKUP($AQ8,'LL Revasc Data'!$A:$X,23,FALSE)</f>
        <v>13</v>
      </c>
      <c r="AU8" s="128">
        <f>VLOOKUP($AQ8,'LL Revasc Data'!$A:$X,24,FALSE)</f>
        <v>15</v>
      </c>
    </row>
    <row r="9" spans="1:47" x14ac:dyDescent="0.25">
      <c r="AF9" s="128" t="s">
        <v>50</v>
      </c>
      <c r="AG9" s="210" t="s">
        <v>49</v>
      </c>
      <c r="AH9" s="220">
        <v>131</v>
      </c>
      <c r="AI9" s="220">
        <v>35</v>
      </c>
      <c r="AJ9" s="220">
        <v>217</v>
      </c>
      <c r="AK9" s="220">
        <v>383</v>
      </c>
      <c r="AL9" s="220">
        <v>0.34203655352480417</v>
      </c>
      <c r="AM9" s="220">
        <v>9.1383812010443863E-2</v>
      </c>
      <c r="AN9" s="220">
        <v>0.56657963446475201</v>
      </c>
      <c r="AO9" s="220">
        <v>8</v>
      </c>
      <c r="AQ9" s="209" t="s">
        <v>22</v>
      </c>
      <c r="AR9" s="216">
        <v>8</v>
      </c>
      <c r="AS9" s="128">
        <f>VLOOKUP($AQ9,'LL Revasc Data'!$A:$X,22,FALSE)</f>
        <v>65</v>
      </c>
      <c r="AT9" s="128">
        <f>VLOOKUP($AQ9,'LL Revasc Data'!$A:$X,23,FALSE)</f>
        <v>8</v>
      </c>
      <c r="AU9" s="128">
        <f>VLOOKUP($AQ9,'LL Revasc Data'!$A:$X,24,FALSE)</f>
        <v>8.9999999999999929</v>
      </c>
    </row>
    <row r="10" spans="1:47" x14ac:dyDescent="0.25">
      <c r="AF10" s="128" t="s">
        <v>295</v>
      </c>
      <c r="AG10" s="210" t="s">
        <v>29</v>
      </c>
      <c r="AH10" s="220">
        <v>114</v>
      </c>
      <c r="AI10" s="220">
        <v>75</v>
      </c>
      <c r="AJ10" s="220">
        <v>189</v>
      </c>
      <c r="AK10" s="220">
        <v>378</v>
      </c>
      <c r="AL10" s="220">
        <v>0.30158730158730157</v>
      </c>
      <c r="AM10" s="220">
        <v>0.1984126984126984</v>
      </c>
      <c r="AN10" s="220">
        <v>0.5</v>
      </c>
      <c r="AO10" s="220">
        <v>9</v>
      </c>
      <c r="AQ10" s="128" t="s">
        <v>37</v>
      </c>
      <c r="AR10" s="216">
        <v>9</v>
      </c>
      <c r="AS10" s="128">
        <f>VLOOKUP($AQ10,'LL Revasc Data'!$A:$X,22,FALSE)</f>
        <v>65</v>
      </c>
      <c r="AT10" s="128">
        <f>VLOOKUP($AQ10,'LL Revasc Data'!$A:$X,23,FALSE)</f>
        <v>13</v>
      </c>
      <c r="AU10" s="128">
        <f>VLOOKUP($AQ10,'LL Revasc Data'!$A:$X,24,FALSE)</f>
        <v>14</v>
      </c>
    </row>
    <row r="11" spans="1:47" x14ac:dyDescent="0.25">
      <c r="AF11" s="128" t="s">
        <v>228</v>
      </c>
      <c r="AG11" s="210" t="s">
        <v>87</v>
      </c>
      <c r="AH11" s="220">
        <v>67</v>
      </c>
      <c r="AI11" s="220">
        <v>41</v>
      </c>
      <c r="AJ11" s="220">
        <v>259</v>
      </c>
      <c r="AK11" s="220">
        <v>367</v>
      </c>
      <c r="AL11" s="220">
        <v>0.18256130790190736</v>
      </c>
      <c r="AM11" s="220">
        <v>0.11171662125340599</v>
      </c>
      <c r="AN11" s="220">
        <v>0.70572207084468663</v>
      </c>
      <c r="AO11" s="220">
        <v>10</v>
      </c>
      <c r="AQ11" s="128" t="s">
        <v>90</v>
      </c>
      <c r="AR11" s="216">
        <v>10</v>
      </c>
      <c r="AS11" s="128">
        <f>VLOOKUP($AQ11,'LL Revasc Data'!$A:$X,22,FALSE)</f>
        <v>65</v>
      </c>
      <c r="AT11" s="128">
        <f>VLOOKUP($AQ11,'LL Revasc Data'!$A:$X,23,FALSE)</f>
        <v>20</v>
      </c>
      <c r="AU11" s="128">
        <f>VLOOKUP($AQ11,'LL Revasc Data'!$A:$X,24,FALSE)</f>
        <v>24</v>
      </c>
    </row>
    <row r="12" spans="1:47" x14ac:dyDescent="0.25">
      <c r="AF12" s="128" t="s">
        <v>120</v>
      </c>
      <c r="AG12" s="210" t="s">
        <v>119</v>
      </c>
      <c r="AH12" s="220">
        <v>87</v>
      </c>
      <c r="AI12" s="220">
        <v>21</v>
      </c>
      <c r="AJ12" s="220">
        <v>252</v>
      </c>
      <c r="AK12" s="220">
        <v>360</v>
      </c>
      <c r="AL12" s="220">
        <v>0.24166666666666667</v>
      </c>
      <c r="AM12" s="220">
        <v>5.8333333333333334E-2</v>
      </c>
      <c r="AN12" s="220">
        <v>0.7</v>
      </c>
      <c r="AO12" s="220">
        <v>11</v>
      </c>
      <c r="AQ12" s="128" t="s">
        <v>417</v>
      </c>
      <c r="AR12" s="216">
        <v>11</v>
      </c>
      <c r="AS12" s="128">
        <f>VLOOKUP($AQ12,'LL Revasc Data'!$A:$X,22,FALSE)</f>
        <v>64</v>
      </c>
      <c r="AT12" s="128">
        <f>VLOOKUP($AQ12,'LL Revasc Data'!$A:$X,23,FALSE)</f>
        <v>13</v>
      </c>
      <c r="AU12" s="128">
        <f>VLOOKUP($AQ12,'LL Revasc Data'!$A:$X,24,FALSE)</f>
        <v>14</v>
      </c>
    </row>
    <row r="13" spans="1:47" x14ac:dyDescent="0.25">
      <c r="AF13" s="128" t="s">
        <v>116</v>
      </c>
      <c r="AG13" s="210" t="s">
        <v>115</v>
      </c>
      <c r="AH13" s="220">
        <v>87</v>
      </c>
      <c r="AI13" s="220">
        <v>69</v>
      </c>
      <c r="AJ13" s="220">
        <v>192</v>
      </c>
      <c r="AK13" s="220">
        <v>348</v>
      </c>
      <c r="AL13" s="220">
        <v>0.25</v>
      </c>
      <c r="AM13" s="220">
        <v>0.19827586206896552</v>
      </c>
      <c r="AN13" s="220">
        <v>0.55172413793103448</v>
      </c>
      <c r="AO13" s="220">
        <v>12</v>
      </c>
      <c r="AQ13" s="128" t="s">
        <v>27</v>
      </c>
      <c r="AR13" s="216">
        <v>12</v>
      </c>
      <c r="AS13" s="128">
        <f>VLOOKUP($AQ13,'LL Revasc Data'!$A:$X,22,FALSE)</f>
        <v>63</v>
      </c>
      <c r="AT13" s="128">
        <f>VLOOKUP($AQ13,'LL Revasc Data'!$A:$X,23,FALSE)</f>
        <v>11</v>
      </c>
      <c r="AU13" s="128">
        <f>VLOOKUP($AQ13,'LL Revasc Data'!$A:$X,24,FALSE)</f>
        <v>12</v>
      </c>
    </row>
    <row r="14" spans="1:47" x14ac:dyDescent="0.25">
      <c r="AF14" s="209" t="s">
        <v>23</v>
      </c>
      <c r="AG14" s="210" t="s">
        <v>22</v>
      </c>
      <c r="AH14" s="220">
        <v>92</v>
      </c>
      <c r="AI14" s="220">
        <v>16</v>
      </c>
      <c r="AJ14" s="220">
        <v>237</v>
      </c>
      <c r="AK14" s="220">
        <v>345</v>
      </c>
      <c r="AL14" s="220">
        <v>0.26666666666666666</v>
      </c>
      <c r="AM14" s="220">
        <v>4.6376811594202899E-2</v>
      </c>
      <c r="AN14" s="220">
        <v>0.68695652173913047</v>
      </c>
      <c r="AO14" s="220">
        <v>13</v>
      </c>
      <c r="AQ14" s="128" t="s">
        <v>96</v>
      </c>
      <c r="AR14" s="216">
        <v>13</v>
      </c>
      <c r="AS14" s="128">
        <f>VLOOKUP($AQ14,'LL Revasc Data'!$A:$X,22,FALSE)</f>
        <v>64</v>
      </c>
      <c r="AT14" s="128">
        <f>VLOOKUP($AQ14,'LL Revasc Data'!$A:$X,23,FALSE)</f>
        <v>8</v>
      </c>
      <c r="AU14" s="128">
        <f>VLOOKUP($AQ14,'LL Revasc Data'!$A:$X,24,FALSE)</f>
        <v>8.9999999999999929</v>
      </c>
    </row>
    <row r="15" spans="1:47" x14ac:dyDescent="0.25">
      <c r="AF15" s="209" t="s">
        <v>138</v>
      </c>
      <c r="AG15" s="210" t="s">
        <v>137</v>
      </c>
      <c r="AH15" s="220">
        <v>129</v>
      </c>
      <c r="AI15" s="220">
        <v>73</v>
      </c>
      <c r="AJ15" s="220">
        <v>128</v>
      </c>
      <c r="AK15" s="220">
        <v>330</v>
      </c>
      <c r="AL15" s="220">
        <v>0.39090909090909093</v>
      </c>
      <c r="AM15" s="220">
        <v>0.22121212121212122</v>
      </c>
      <c r="AN15" s="220">
        <v>0.38787878787878788</v>
      </c>
      <c r="AO15" s="220">
        <v>14</v>
      </c>
      <c r="AQ15" s="128" t="s">
        <v>41</v>
      </c>
      <c r="AR15" s="216">
        <v>14</v>
      </c>
      <c r="AS15" s="128">
        <f>VLOOKUP($AQ15,'LL Revasc Data'!$A:$X,22,FALSE)</f>
        <v>62</v>
      </c>
      <c r="AT15" s="128">
        <f>VLOOKUP($AQ15,'LL Revasc Data'!$A:$X,23,FALSE)</f>
        <v>14</v>
      </c>
      <c r="AU15" s="128">
        <f>VLOOKUP($AQ15,'LL Revasc Data'!$A:$X,24,FALSE)</f>
        <v>16</v>
      </c>
    </row>
    <row r="16" spans="1:47" x14ac:dyDescent="0.25">
      <c r="AF16" s="128" t="s">
        <v>52</v>
      </c>
      <c r="AG16" s="210" t="s">
        <v>51</v>
      </c>
      <c r="AH16" s="220">
        <v>112</v>
      </c>
      <c r="AI16" s="220">
        <v>30</v>
      </c>
      <c r="AJ16" s="220">
        <v>179</v>
      </c>
      <c r="AK16" s="220">
        <v>321</v>
      </c>
      <c r="AL16" s="220">
        <v>0.34890965732087226</v>
      </c>
      <c r="AM16" s="220">
        <v>9.3457943925233641E-2</v>
      </c>
      <c r="AN16" s="220">
        <v>0.55763239875389403</v>
      </c>
      <c r="AO16" s="220">
        <v>15</v>
      </c>
      <c r="AQ16" s="128" t="s">
        <v>429</v>
      </c>
      <c r="AR16" s="216">
        <v>15</v>
      </c>
      <c r="AS16" s="128">
        <f>VLOOKUP($AQ16,'LL Revasc Data'!$A:$X,22,FALSE)</f>
        <v>63</v>
      </c>
      <c r="AT16" s="128">
        <f>VLOOKUP($AQ16,'LL Revasc Data'!$A:$X,23,FALSE)</f>
        <v>8</v>
      </c>
      <c r="AU16" s="128">
        <f>VLOOKUP($AQ16,'LL Revasc Data'!$A:$X,24,FALSE)</f>
        <v>10</v>
      </c>
    </row>
    <row r="17" spans="2:47" x14ac:dyDescent="0.25">
      <c r="AF17" s="128" t="s">
        <v>430</v>
      </c>
      <c r="AG17" s="210" t="s">
        <v>429</v>
      </c>
      <c r="AH17" s="220">
        <v>112</v>
      </c>
      <c r="AI17" s="220">
        <v>105</v>
      </c>
      <c r="AJ17" s="220">
        <v>98</v>
      </c>
      <c r="AK17" s="220">
        <v>315</v>
      </c>
      <c r="AL17" s="220">
        <v>0.35555555555555557</v>
      </c>
      <c r="AM17" s="220">
        <v>0.33333333333333331</v>
      </c>
      <c r="AN17" s="220">
        <v>0.31111111111111112</v>
      </c>
      <c r="AO17" s="220">
        <v>16</v>
      </c>
      <c r="AQ17" s="128" t="s">
        <v>64</v>
      </c>
      <c r="AR17" s="216">
        <v>16</v>
      </c>
      <c r="AS17" s="128">
        <f>VLOOKUP($AQ17,'LL Revasc Data'!$A:$X,22,FALSE)</f>
        <v>61</v>
      </c>
      <c r="AT17" s="128">
        <f>VLOOKUP($AQ17,'LL Revasc Data'!$A:$X,23,FALSE)</f>
        <v>10</v>
      </c>
      <c r="AU17" s="128">
        <f>VLOOKUP($AQ17,'LL Revasc Data'!$A:$X,24,FALSE)</f>
        <v>10</v>
      </c>
    </row>
    <row r="18" spans="2:47" x14ac:dyDescent="0.25">
      <c r="AF18" s="128" t="s">
        <v>9</v>
      </c>
      <c r="AG18" s="210" t="s">
        <v>8</v>
      </c>
      <c r="AH18" s="220">
        <v>90</v>
      </c>
      <c r="AI18" s="220">
        <v>78</v>
      </c>
      <c r="AJ18" s="220">
        <v>143</v>
      </c>
      <c r="AK18" s="220">
        <v>311</v>
      </c>
      <c r="AL18" s="220">
        <v>0.28938906752411575</v>
      </c>
      <c r="AM18" s="220">
        <v>0.25080385852090031</v>
      </c>
      <c r="AN18" s="220">
        <v>0.45980707395498394</v>
      </c>
      <c r="AO18" s="220">
        <v>17</v>
      </c>
      <c r="AQ18" s="128" t="s">
        <v>77</v>
      </c>
      <c r="AR18" s="216">
        <v>17</v>
      </c>
      <c r="AS18" s="128">
        <f>VLOOKUP($AQ18,'LL Revasc Data'!$A:$X,22,FALSE)</f>
        <v>62</v>
      </c>
      <c r="AT18" s="128">
        <f>VLOOKUP($AQ18,'LL Revasc Data'!$A:$X,23,FALSE)</f>
        <v>7</v>
      </c>
      <c r="AU18" s="128">
        <f>VLOOKUP($AQ18,'LL Revasc Data'!$A:$X,24,FALSE)</f>
        <v>6.9999999999999929</v>
      </c>
    </row>
    <row r="19" spans="2:47" x14ac:dyDescent="0.25">
      <c r="AF19" s="128" t="s">
        <v>158</v>
      </c>
      <c r="AG19" s="210" t="s">
        <v>2</v>
      </c>
      <c r="AH19" s="220">
        <v>133</v>
      </c>
      <c r="AI19" s="220">
        <v>17</v>
      </c>
      <c r="AJ19" s="220">
        <v>161</v>
      </c>
      <c r="AK19" s="220">
        <v>311</v>
      </c>
      <c r="AL19" s="220">
        <v>0.42765273311897106</v>
      </c>
      <c r="AM19" s="220">
        <v>5.4662379421221867E-2</v>
      </c>
      <c r="AN19" s="220">
        <v>0.51768488745980712</v>
      </c>
      <c r="AO19" s="220">
        <v>18</v>
      </c>
      <c r="AQ19" s="128" t="s">
        <v>131</v>
      </c>
      <c r="AR19" s="216">
        <v>18</v>
      </c>
      <c r="AS19" s="128">
        <f>VLOOKUP($AQ19,'LL Revasc Data'!$A:$X,22,FALSE)</f>
        <v>62</v>
      </c>
      <c r="AT19" s="128">
        <f>VLOOKUP($AQ19,'LL Revasc Data'!$A:$X,23,FALSE)</f>
        <v>20</v>
      </c>
      <c r="AU19" s="128">
        <f>VLOOKUP($AQ19,'LL Revasc Data'!$A:$X,24,FALSE)</f>
        <v>24</v>
      </c>
    </row>
    <row r="20" spans="2:47" x14ac:dyDescent="0.25">
      <c r="AF20" s="128" t="s">
        <v>93</v>
      </c>
      <c r="AG20" s="210" t="s">
        <v>92</v>
      </c>
      <c r="AH20" s="220">
        <v>59</v>
      </c>
      <c r="AI20" s="220">
        <v>57</v>
      </c>
      <c r="AJ20" s="220">
        <v>192</v>
      </c>
      <c r="AK20" s="220">
        <v>308</v>
      </c>
      <c r="AL20" s="220">
        <v>0.19155844155844157</v>
      </c>
      <c r="AM20" s="220">
        <v>0.18506493506493507</v>
      </c>
      <c r="AN20" s="220">
        <v>0.62337662337662336</v>
      </c>
      <c r="AO20" s="220">
        <v>19</v>
      </c>
      <c r="AQ20" s="128" t="s">
        <v>133</v>
      </c>
      <c r="AR20" s="216">
        <v>19</v>
      </c>
      <c r="AS20" s="128">
        <f>VLOOKUP($AQ20,'LL Revasc Data'!$A:$X,22,FALSE)</f>
        <v>62</v>
      </c>
      <c r="AT20" s="128">
        <f>VLOOKUP($AQ20,'LL Revasc Data'!$A:$X,23,FALSE)</f>
        <v>20</v>
      </c>
      <c r="AU20" s="128">
        <f>VLOOKUP($AQ20,'LL Revasc Data'!$A:$X,24,FALSE)</f>
        <v>24</v>
      </c>
    </row>
    <row r="21" spans="2:47" x14ac:dyDescent="0.25">
      <c r="AF21" s="128" t="s">
        <v>61</v>
      </c>
      <c r="AG21" s="210" t="s">
        <v>60</v>
      </c>
      <c r="AH21" s="220">
        <v>37</v>
      </c>
      <c r="AI21" s="220">
        <v>51</v>
      </c>
      <c r="AJ21" s="220">
        <v>208</v>
      </c>
      <c r="AK21" s="220">
        <v>296</v>
      </c>
      <c r="AL21" s="220">
        <v>0.125</v>
      </c>
      <c r="AM21" s="220">
        <v>0.17229729729729729</v>
      </c>
      <c r="AN21" s="220">
        <v>0.70270270270270274</v>
      </c>
      <c r="AO21" s="220">
        <v>20</v>
      </c>
      <c r="AQ21" s="128" t="s">
        <v>39</v>
      </c>
      <c r="AR21" s="216">
        <v>20</v>
      </c>
      <c r="AS21" s="128">
        <f>VLOOKUP($AQ21,'LL Revasc Data'!$A:$X,22,FALSE)</f>
        <v>61</v>
      </c>
      <c r="AT21" s="128">
        <f>VLOOKUP($AQ21,'LL Revasc Data'!$A:$X,23,FALSE)</f>
        <v>12</v>
      </c>
      <c r="AU21" s="128">
        <f>VLOOKUP($AQ21,'LL Revasc Data'!$A:$X,24,FALSE)</f>
        <v>12</v>
      </c>
    </row>
    <row r="22" spans="2:47" x14ac:dyDescent="0.25">
      <c r="AF22" s="128" t="s">
        <v>67</v>
      </c>
      <c r="AG22" s="210" t="s">
        <v>66</v>
      </c>
      <c r="AH22" s="220">
        <v>49</v>
      </c>
      <c r="AI22" s="220">
        <v>25</v>
      </c>
      <c r="AJ22" s="220">
        <v>212</v>
      </c>
      <c r="AK22" s="220">
        <v>286</v>
      </c>
      <c r="AL22" s="220">
        <v>0.17132867132867133</v>
      </c>
      <c r="AM22" s="220">
        <v>8.7412587412587409E-2</v>
      </c>
      <c r="AN22" s="220">
        <v>0.74125874125874125</v>
      </c>
      <c r="AO22" s="220">
        <v>21</v>
      </c>
      <c r="AQ22" s="128" t="s">
        <v>92</v>
      </c>
      <c r="AR22" s="216">
        <v>21</v>
      </c>
      <c r="AS22" s="128">
        <f>VLOOKUP($AQ22,'LL Revasc Data'!$A:$X,22,FALSE)</f>
        <v>61</v>
      </c>
      <c r="AT22" s="128">
        <f>VLOOKUP($AQ22,'LL Revasc Data'!$A:$X,23,FALSE)</f>
        <v>9</v>
      </c>
      <c r="AU22" s="128">
        <f>VLOOKUP($AQ22,'LL Revasc Data'!$A:$X,24,FALSE)</f>
        <v>10</v>
      </c>
    </row>
    <row r="23" spans="2:47" x14ac:dyDescent="0.25">
      <c r="AF23" s="128" t="s">
        <v>353</v>
      </c>
      <c r="AG23" s="210" t="s">
        <v>433</v>
      </c>
      <c r="AH23" s="220">
        <v>68</v>
      </c>
      <c r="AI23" s="220">
        <v>19</v>
      </c>
      <c r="AJ23" s="220">
        <v>182</v>
      </c>
      <c r="AK23" s="220">
        <v>269</v>
      </c>
      <c r="AL23" s="220">
        <v>0.25278810408921931</v>
      </c>
      <c r="AM23" s="220">
        <v>7.0631970260223054E-2</v>
      </c>
      <c r="AN23" s="220">
        <v>0.67657992565055758</v>
      </c>
      <c r="AO23" s="220">
        <v>22</v>
      </c>
      <c r="AQ23" s="128" t="s">
        <v>6</v>
      </c>
      <c r="AR23" s="216">
        <v>22</v>
      </c>
      <c r="AS23" s="128">
        <f>VLOOKUP($AQ23,'LL Revasc Data'!$A:$X,22,FALSE)</f>
        <v>60</v>
      </c>
      <c r="AT23" s="128">
        <f>VLOOKUP($AQ23,'LL Revasc Data'!$A:$X,23,FALSE)</f>
        <v>28</v>
      </c>
      <c r="AU23" s="128">
        <f>VLOOKUP($AQ23,'LL Revasc Data'!$A:$X,24,FALSE)</f>
        <v>34</v>
      </c>
    </row>
    <row r="24" spans="2:47" x14ac:dyDescent="0.25">
      <c r="AF24" s="128" t="s">
        <v>296</v>
      </c>
      <c r="AG24" s="210" t="s">
        <v>12</v>
      </c>
      <c r="AH24" s="220">
        <v>11</v>
      </c>
      <c r="AI24" s="220">
        <v>19</v>
      </c>
      <c r="AJ24" s="220">
        <v>236</v>
      </c>
      <c r="AK24" s="220">
        <v>266</v>
      </c>
      <c r="AL24" s="220">
        <v>4.1353383458646614E-2</v>
      </c>
      <c r="AM24" s="220">
        <v>7.1428571428571425E-2</v>
      </c>
      <c r="AN24" s="220">
        <v>0.88721804511278191</v>
      </c>
      <c r="AO24" s="220">
        <v>23</v>
      </c>
      <c r="AQ24" s="128" t="s">
        <v>127</v>
      </c>
      <c r="AR24" s="216">
        <v>23</v>
      </c>
      <c r="AS24" s="128">
        <f>VLOOKUP($AQ24,'LL Revasc Data'!$A:$X,22,FALSE)</f>
        <v>60</v>
      </c>
      <c r="AT24" s="128">
        <f>VLOOKUP($AQ24,'LL Revasc Data'!$A:$X,23,FALSE)</f>
        <v>24</v>
      </c>
      <c r="AU24" s="128">
        <f>VLOOKUP($AQ24,'LL Revasc Data'!$A:$X,24,FALSE)</f>
        <v>28</v>
      </c>
    </row>
    <row r="25" spans="2:47" x14ac:dyDescent="0.25">
      <c r="AF25" s="128" t="s">
        <v>65</v>
      </c>
      <c r="AG25" s="210" t="s">
        <v>64</v>
      </c>
      <c r="AH25" s="220">
        <v>99</v>
      </c>
      <c r="AI25" s="220">
        <v>32</v>
      </c>
      <c r="AJ25" s="220">
        <v>135</v>
      </c>
      <c r="AK25" s="220">
        <v>266</v>
      </c>
      <c r="AL25" s="220">
        <v>0.37218045112781956</v>
      </c>
      <c r="AM25" s="220">
        <v>0.12030075187969924</v>
      </c>
      <c r="AN25" s="220">
        <v>0.50751879699248126</v>
      </c>
      <c r="AO25" s="220">
        <v>24</v>
      </c>
      <c r="AQ25" s="128" t="s">
        <v>66</v>
      </c>
      <c r="AR25" s="216">
        <v>24</v>
      </c>
      <c r="AS25" s="128">
        <f>VLOOKUP($AQ25,'LL Revasc Data'!$A:$X,22,FALSE)</f>
        <v>58</v>
      </c>
      <c r="AT25" s="128">
        <f>VLOOKUP($AQ25,'LL Revasc Data'!$A:$X,23,FALSE)</f>
        <v>12</v>
      </c>
      <c r="AU25" s="128">
        <f>VLOOKUP($AQ25,'LL Revasc Data'!$A:$X,24,FALSE)</f>
        <v>12</v>
      </c>
    </row>
    <row r="26" spans="2:47" x14ac:dyDescent="0.25">
      <c r="AF26" s="128" t="s">
        <v>4</v>
      </c>
      <c r="AG26" s="210" t="s">
        <v>3</v>
      </c>
      <c r="AH26" s="220">
        <v>106</v>
      </c>
      <c r="AI26" s="220">
        <v>24</v>
      </c>
      <c r="AJ26" s="220">
        <v>119</v>
      </c>
      <c r="AK26" s="220">
        <v>249</v>
      </c>
      <c r="AL26" s="220">
        <v>0.42570281124497994</v>
      </c>
      <c r="AM26" s="220">
        <v>9.6385542168674704E-2</v>
      </c>
      <c r="AN26" s="220">
        <v>0.47791164658634538</v>
      </c>
      <c r="AO26" s="220">
        <v>25</v>
      </c>
      <c r="AQ26" s="128" t="s">
        <v>85</v>
      </c>
      <c r="AR26" s="216">
        <v>25</v>
      </c>
      <c r="AS26" s="128">
        <f>VLOOKUP($AQ26,'LL Revasc Data'!$A:$X,22,FALSE)</f>
        <v>59</v>
      </c>
      <c r="AT26" s="128">
        <f>VLOOKUP($AQ26,'LL Revasc Data'!$A:$X,23,FALSE)</f>
        <v>13</v>
      </c>
      <c r="AU26" s="128">
        <f>VLOOKUP($AQ26,'LL Revasc Data'!$A:$X,24,FALSE)</f>
        <v>14</v>
      </c>
    </row>
    <row r="27" spans="2:47" x14ac:dyDescent="0.25">
      <c r="AF27" s="128" t="s">
        <v>28</v>
      </c>
      <c r="AG27" s="210" t="s">
        <v>27</v>
      </c>
      <c r="AH27" s="220">
        <v>58</v>
      </c>
      <c r="AI27" s="220">
        <v>14</v>
      </c>
      <c r="AJ27" s="220">
        <v>174</v>
      </c>
      <c r="AK27" s="220">
        <v>246</v>
      </c>
      <c r="AL27" s="220">
        <v>0.23577235772357724</v>
      </c>
      <c r="AM27" s="220">
        <v>5.6910569105691054E-2</v>
      </c>
      <c r="AN27" s="220">
        <v>0.70731707317073167</v>
      </c>
      <c r="AO27" s="220">
        <v>26</v>
      </c>
      <c r="AQ27" s="128" t="s">
        <v>94</v>
      </c>
      <c r="AR27" s="216">
        <v>26</v>
      </c>
      <c r="AS27" s="128">
        <f>VLOOKUP($AQ27,'LL Revasc Data'!$A:$X,22,FALSE)</f>
        <v>57</v>
      </c>
      <c r="AT27" s="128">
        <f>VLOOKUP($AQ27,'LL Revasc Data'!$A:$X,23,FALSE)</f>
        <v>19</v>
      </c>
      <c r="AU27" s="128">
        <f>VLOOKUP($AQ27,'LL Revasc Data'!$A:$X,24,FALSE)</f>
        <v>20</v>
      </c>
    </row>
    <row r="28" spans="2:47" ht="15.75" thickBot="1" x14ac:dyDescent="0.3">
      <c r="AF28" s="128" t="s">
        <v>118</v>
      </c>
      <c r="AG28" s="210" t="s">
        <v>117</v>
      </c>
      <c r="AH28" s="220">
        <v>73</v>
      </c>
      <c r="AI28" s="220">
        <v>13</v>
      </c>
      <c r="AJ28" s="220">
        <v>160</v>
      </c>
      <c r="AK28" s="220">
        <v>246</v>
      </c>
      <c r="AL28" s="220">
        <v>0.2967479674796748</v>
      </c>
      <c r="AM28" s="220">
        <v>5.2845528455284556E-2</v>
      </c>
      <c r="AN28" s="220">
        <v>0.65040650406504064</v>
      </c>
      <c r="AO28" s="220">
        <v>27</v>
      </c>
      <c r="AQ28" s="209" t="s">
        <v>137</v>
      </c>
      <c r="AR28" s="216">
        <v>27</v>
      </c>
      <c r="AS28" s="128">
        <f>VLOOKUP($AQ28,'LL Revasc Data'!$A:$X,22,FALSE)</f>
        <v>58</v>
      </c>
      <c r="AT28" s="128">
        <f>VLOOKUP($AQ28,'LL Revasc Data'!$A:$X,23,FALSE)</f>
        <v>9</v>
      </c>
      <c r="AU28" s="128">
        <f>VLOOKUP($AQ28,'LL Revasc Data'!$A:$X,24,FALSE)</f>
        <v>9</v>
      </c>
    </row>
    <row r="29" spans="2:47" ht="60.75" thickBot="1" x14ac:dyDescent="0.3">
      <c r="B29" s="14" t="s">
        <v>139</v>
      </c>
      <c r="C29" s="14" t="s">
        <v>140</v>
      </c>
      <c r="D29" s="30" t="s">
        <v>725</v>
      </c>
      <c r="E29" s="31" t="s">
        <v>726</v>
      </c>
      <c r="F29" s="31" t="s">
        <v>727</v>
      </c>
      <c r="G29" s="31" t="s">
        <v>728</v>
      </c>
      <c r="H29" s="31" t="s">
        <v>729</v>
      </c>
      <c r="I29" s="31" t="s">
        <v>730</v>
      </c>
      <c r="J29" s="14" t="s">
        <v>731</v>
      </c>
      <c r="AF29" s="128" t="s">
        <v>418</v>
      </c>
      <c r="AG29" s="210" t="s">
        <v>417</v>
      </c>
      <c r="AH29" s="220">
        <v>67</v>
      </c>
      <c r="AI29" s="220">
        <v>33</v>
      </c>
      <c r="AJ29" s="220">
        <v>134</v>
      </c>
      <c r="AK29" s="220">
        <v>234</v>
      </c>
      <c r="AL29" s="220">
        <v>0.28632478632478631</v>
      </c>
      <c r="AM29" s="220">
        <v>0.14102564102564102</v>
      </c>
      <c r="AN29" s="220">
        <v>0.57264957264957261</v>
      </c>
      <c r="AO29" s="220">
        <v>28</v>
      </c>
      <c r="AQ29" s="128" t="s">
        <v>24</v>
      </c>
      <c r="AR29" s="216">
        <v>28</v>
      </c>
      <c r="AS29" s="128">
        <f>VLOOKUP($AQ29,'LL Revasc Data'!$A:$X,22,FALSE)</f>
        <v>56</v>
      </c>
      <c r="AT29" s="128">
        <f>VLOOKUP($AQ29,'LL Revasc Data'!$A:$X,23,FALSE)</f>
        <v>12</v>
      </c>
      <c r="AU29" s="128">
        <f>VLOOKUP($AQ29,'LL Revasc Data'!$A:$X,24,FALSE)</f>
        <v>13</v>
      </c>
    </row>
    <row r="30" spans="2:47" ht="15.75" thickBot="1" x14ac:dyDescent="0.3">
      <c r="B30" s="16" t="str">
        <f>B1</f>
        <v>Aneurin Bevan University Health Board</v>
      </c>
      <c r="C30" s="32" t="str">
        <f>VLOOKUP($B30,'LL Revasc Data'!$B:$AB,9,FALSE)</f>
        <v>7A6</v>
      </c>
      <c r="D30" s="32">
        <f>VLOOKUP($B30,'LL Revasc Data'!$B:$AB,8,FALSE)</f>
        <v>56</v>
      </c>
      <c r="E30" s="32">
        <f>VLOOKUP($B30,'LL Revasc Data'!$B:$AB,5,FALSE)</f>
        <v>15</v>
      </c>
      <c r="F30" s="32">
        <f>VLOOKUP($B30,'LL Revasc Data'!$B:$AB,6,FALSE)</f>
        <v>3</v>
      </c>
      <c r="G30" s="32">
        <f>VLOOKUP($B30,'LL Revasc Data'!$B:$AB,7,FALSE)</f>
        <v>38</v>
      </c>
      <c r="H30" s="32">
        <f>VLOOKUP($B30,'LL Revasc Data'!$B:$AB,2,FALSE)</f>
        <v>10</v>
      </c>
      <c r="I30" s="17" t="str">
        <f>VLOOKUP($B30,'LL Revasc Data'!$B:$AB,3,FALSE)</f>
        <v>4 (3 - 6)</v>
      </c>
      <c r="J30" s="35">
        <f>VLOOKUP($B30,'LL Revasc Data'!$B:$AB,4,FALSE)</f>
        <v>0.60000002384185791</v>
      </c>
      <c r="AF30" s="128" t="s">
        <v>40</v>
      </c>
      <c r="AG30" s="210" t="s">
        <v>39</v>
      </c>
      <c r="AH30" s="220">
        <v>128</v>
      </c>
      <c r="AI30" s="220">
        <v>65</v>
      </c>
      <c r="AJ30" s="220">
        <v>31</v>
      </c>
      <c r="AK30" s="220">
        <v>224</v>
      </c>
      <c r="AL30" s="220">
        <v>0.5714285714285714</v>
      </c>
      <c r="AM30" s="220">
        <v>0.29017857142857145</v>
      </c>
      <c r="AN30" s="220">
        <v>0.13839285714285715</v>
      </c>
      <c r="AO30" s="220">
        <v>29</v>
      </c>
      <c r="AQ30" s="128" t="s">
        <v>53</v>
      </c>
      <c r="AR30" s="216">
        <v>29</v>
      </c>
      <c r="AS30" s="128">
        <f>VLOOKUP($AQ30,'LL Revasc Data'!$A:$X,22,FALSE)</f>
        <v>56</v>
      </c>
      <c r="AT30" s="128">
        <f>VLOOKUP($AQ30,'LL Revasc Data'!$A:$X,23,FALSE)</f>
        <v>22</v>
      </c>
      <c r="AU30" s="128">
        <f>VLOOKUP($AQ30,'LL Revasc Data'!$A:$X,24,FALSE)</f>
        <v>25</v>
      </c>
    </row>
    <row r="31" spans="2:47" ht="15.75" thickBot="1" x14ac:dyDescent="0.3">
      <c r="B31" s="241" t="s">
        <v>230</v>
      </c>
      <c r="C31" s="241"/>
      <c r="D31" s="75">
        <v>14463</v>
      </c>
      <c r="E31" s="76">
        <v>4429</v>
      </c>
      <c r="F31" s="76">
        <v>2003</v>
      </c>
      <c r="G31" s="76">
        <v>8031</v>
      </c>
      <c r="H31" s="76">
        <v>4487</v>
      </c>
      <c r="I31" s="122" t="s">
        <v>173</v>
      </c>
      <c r="J31" s="78">
        <v>0.51</v>
      </c>
      <c r="AF31" s="128" t="s">
        <v>48</v>
      </c>
      <c r="AG31" s="210" t="s">
        <v>47</v>
      </c>
      <c r="AH31" s="220">
        <v>21</v>
      </c>
      <c r="AI31" s="220">
        <v>63</v>
      </c>
      <c r="AJ31" s="220">
        <v>137</v>
      </c>
      <c r="AK31" s="220">
        <v>221</v>
      </c>
      <c r="AL31" s="220">
        <v>9.5022624434389136E-2</v>
      </c>
      <c r="AM31" s="220">
        <v>0.28506787330316741</v>
      </c>
      <c r="AN31" s="220">
        <v>0.61990950226244346</v>
      </c>
      <c r="AO31" s="220">
        <v>30</v>
      </c>
      <c r="AQ31" s="128" t="s">
        <v>433</v>
      </c>
      <c r="AR31" s="216">
        <v>30</v>
      </c>
      <c r="AS31" s="128">
        <f>VLOOKUP($AQ31,'LL Revasc Data'!$A:$X,22,FALSE)</f>
        <v>56</v>
      </c>
      <c r="AT31" s="128">
        <f>VLOOKUP($AQ31,'LL Revasc Data'!$A:$X,23,FALSE)</f>
        <v>14</v>
      </c>
      <c r="AU31" s="128">
        <f>VLOOKUP($AQ31,'LL Revasc Data'!$A:$X,24,FALSE)</f>
        <v>15</v>
      </c>
    </row>
    <row r="32" spans="2:47" x14ac:dyDescent="0.25">
      <c r="AF32" s="128" t="s">
        <v>26</v>
      </c>
      <c r="AG32" s="210" t="s">
        <v>25</v>
      </c>
      <c r="AH32" s="220">
        <v>103</v>
      </c>
      <c r="AI32" s="220">
        <v>32</v>
      </c>
      <c r="AJ32" s="220">
        <v>84</v>
      </c>
      <c r="AK32" s="220">
        <v>219</v>
      </c>
      <c r="AL32" s="220">
        <v>0.47031963470319632</v>
      </c>
      <c r="AM32" s="220">
        <v>0.14611872146118721</v>
      </c>
      <c r="AN32" s="220">
        <v>0.38356164383561642</v>
      </c>
      <c r="AO32" s="220">
        <v>31</v>
      </c>
      <c r="AQ32" s="128" t="s">
        <v>56</v>
      </c>
      <c r="AR32" s="216">
        <v>31</v>
      </c>
      <c r="AS32" s="128">
        <f>VLOOKUP($AQ32,'LL Revasc Data'!$A:$X,22,FALSE)</f>
        <v>55</v>
      </c>
      <c r="AT32" s="128">
        <f>VLOOKUP($AQ32,'LL Revasc Data'!$A:$X,23,FALSE)</f>
        <v>12</v>
      </c>
      <c r="AU32" s="128">
        <f>VLOOKUP($AQ32,'LL Revasc Data'!$A:$X,24,FALSE)</f>
        <v>13</v>
      </c>
    </row>
    <row r="33" spans="32:47" x14ac:dyDescent="0.25">
      <c r="AF33" s="128" t="s">
        <v>36</v>
      </c>
      <c r="AG33" s="210" t="s">
        <v>35</v>
      </c>
      <c r="AH33" s="220">
        <v>110</v>
      </c>
      <c r="AI33" s="220">
        <v>43</v>
      </c>
      <c r="AJ33" s="220">
        <v>63</v>
      </c>
      <c r="AK33" s="220">
        <v>216</v>
      </c>
      <c r="AL33" s="220">
        <v>0.5092592592592593</v>
      </c>
      <c r="AM33" s="220">
        <v>0.19907407407407407</v>
      </c>
      <c r="AN33" s="220">
        <v>0.29166666666666669</v>
      </c>
      <c r="AO33" s="220">
        <v>32</v>
      </c>
      <c r="AQ33" s="128" t="s">
        <v>105</v>
      </c>
      <c r="AR33" s="216">
        <v>32</v>
      </c>
      <c r="AS33" s="128">
        <f>VLOOKUP($AQ33,'LL Revasc Data'!$A:$X,22,FALSE)</f>
        <v>55</v>
      </c>
      <c r="AT33" s="128">
        <f>VLOOKUP($AQ33,'LL Revasc Data'!$A:$X,23,FALSE)</f>
        <v>13</v>
      </c>
      <c r="AU33" s="128">
        <f>VLOOKUP($AQ33,'LL Revasc Data'!$A:$X,24,FALSE)</f>
        <v>14</v>
      </c>
    </row>
    <row r="34" spans="32:47" x14ac:dyDescent="0.25">
      <c r="AF34" s="128" t="s">
        <v>334</v>
      </c>
      <c r="AG34" s="210" t="s">
        <v>333</v>
      </c>
      <c r="AH34" s="220">
        <v>26</v>
      </c>
      <c r="AI34" s="220">
        <v>38</v>
      </c>
      <c r="AJ34" s="220">
        <v>141</v>
      </c>
      <c r="AK34" s="220">
        <v>205</v>
      </c>
      <c r="AL34" s="220">
        <v>0.12682926829268293</v>
      </c>
      <c r="AM34" s="220">
        <v>0.18536585365853658</v>
      </c>
      <c r="AN34" s="220">
        <v>0.68780487804878043</v>
      </c>
      <c r="AO34" s="220">
        <v>33</v>
      </c>
      <c r="AQ34" s="128" t="s">
        <v>35</v>
      </c>
      <c r="AR34" s="216">
        <v>33</v>
      </c>
      <c r="AS34" s="128">
        <f>VLOOKUP($AQ34,'LL Revasc Data'!$A:$X,22,FALSE)</f>
        <v>54</v>
      </c>
      <c r="AT34" s="128">
        <f>VLOOKUP($AQ34,'LL Revasc Data'!$A:$X,23,FALSE)</f>
        <v>13</v>
      </c>
      <c r="AU34" s="128">
        <f>VLOOKUP($AQ34,'LL Revasc Data'!$A:$X,24,FALSE)</f>
        <v>14</v>
      </c>
    </row>
    <row r="35" spans="32:47" x14ac:dyDescent="0.25">
      <c r="AF35" s="128" t="s">
        <v>361</v>
      </c>
      <c r="AG35" s="210" t="s">
        <v>360</v>
      </c>
      <c r="AH35" s="220">
        <v>53</v>
      </c>
      <c r="AI35" s="220">
        <v>7</v>
      </c>
      <c r="AJ35" s="220">
        <v>139</v>
      </c>
      <c r="AK35" s="220">
        <v>199</v>
      </c>
      <c r="AL35" s="220">
        <v>0.26633165829145727</v>
      </c>
      <c r="AM35" s="220">
        <v>3.5175879396984924E-2</v>
      </c>
      <c r="AN35" s="220">
        <v>0.69849246231155782</v>
      </c>
      <c r="AO35" s="220">
        <v>34</v>
      </c>
      <c r="AQ35" s="128" t="s">
        <v>99</v>
      </c>
      <c r="AR35" s="216">
        <v>34</v>
      </c>
      <c r="AS35" s="128">
        <f>VLOOKUP($AQ35,'LL Revasc Data'!$A:$X,22,FALSE)</f>
        <v>52</v>
      </c>
      <c r="AT35" s="128">
        <f>VLOOKUP($AQ35,'LL Revasc Data'!$A:$X,23,FALSE)</f>
        <v>12</v>
      </c>
      <c r="AU35" s="128">
        <f>VLOOKUP($AQ35,'LL Revasc Data'!$A:$X,24,FALSE)</f>
        <v>12</v>
      </c>
    </row>
    <row r="36" spans="32:47" x14ac:dyDescent="0.25">
      <c r="AF36" s="128" t="s">
        <v>596</v>
      </c>
      <c r="AG36" s="210" t="s">
        <v>37</v>
      </c>
      <c r="AH36" s="220">
        <v>75</v>
      </c>
      <c r="AI36" s="220">
        <v>5</v>
      </c>
      <c r="AJ36" s="220">
        <v>117</v>
      </c>
      <c r="AK36" s="220">
        <v>197</v>
      </c>
      <c r="AL36" s="220">
        <v>0.38071065989847713</v>
      </c>
      <c r="AM36" s="220">
        <v>2.5380710659898477E-2</v>
      </c>
      <c r="AN36" s="220">
        <v>0.59390862944162437</v>
      </c>
      <c r="AO36" s="220">
        <v>35</v>
      </c>
      <c r="AQ36" s="128" t="s">
        <v>3</v>
      </c>
      <c r="AR36" s="216">
        <v>35</v>
      </c>
      <c r="AS36" s="128">
        <f>VLOOKUP($AQ36,'LL Revasc Data'!$A:$X,22,FALSE)</f>
        <v>52</v>
      </c>
      <c r="AT36" s="128">
        <f>VLOOKUP($AQ36,'LL Revasc Data'!$A:$X,23,FALSE)</f>
        <v>10</v>
      </c>
      <c r="AU36" s="128">
        <f>VLOOKUP($AQ36,'LL Revasc Data'!$A:$X,24,FALSE)</f>
        <v>9</v>
      </c>
    </row>
    <row r="37" spans="32:47" x14ac:dyDescent="0.25">
      <c r="AF37" s="128" t="s">
        <v>54</v>
      </c>
      <c r="AG37" s="210" t="s">
        <v>53</v>
      </c>
      <c r="AH37" s="220">
        <v>83</v>
      </c>
      <c r="AI37" s="220">
        <v>11</v>
      </c>
      <c r="AJ37" s="220">
        <v>102</v>
      </c>
      <c r="AK37" s="220">
        <v>196</v>
      </c>
      <c r="AL37" s="220">
        <v>0.42346938775510207</v>
      </c>
      <c r="AM37" s="220">
        <v>5.6122448979591837E-2</v>
      </c>
      <c r="AN37" s="220">
        <v>0.52040816326530615</v>
      </c>
      <c r="AO37" s="220">
        <v>36</v>
      </c>
      <c r="AQ37" s="128" t="s">
        <v>47</v>
      </c>
      <c r="AR37" s="216">
        <v>36</v>
      </c>
      <c r="AS37" s="128">
        <f>VLOOKUP($AQ37,'LL Revasc Data'!$A:$X,22,FALSE)</f>
        <v>52</v>
      </c>
      <c r="AT37" s="128">
        <f>VLOOKUP($AQ37,'LL Revasc Data'!$A:$X,23,FALSE)</f>
        <v>14</v>
      </c>
      <c r="AU37" s="128">
        <f>VLOOKUP($AQ37,'LL Revasc Data'!$A:$X,24,FALSE)</f>
        <v>14</v>
      </c>
    </row>
    <row r="38" spans="32:47" x14ac:dyDescent="0.25">
      <c r="AF38" s="128" t="s">
        <v>100</v>
      </c>
      <c r="AG38" s="210" t="s">
        <v>99</v>
      </c>
      <c r="AH38" s="220">
        <v>68</v>
      </c>
      <c r="AI38" s="220">
        <v>68</v>
      </c>
      <c r="AJ38" s="220">
        <v>49</v>
      </c>
      <c r="AK38" s="220">
        <v>185</v>
      </c>
      <c r="AL38" s="220">
        <v>0.36756756756756759</v>
      </c>
      <c r="AM38" s="220">
        <v>0.36756756756756759</v>
      </c>
      <c r="AN38" s="220">
        <v>0.26486486486486488</v>
      </c>
      <c r="AO38" s="220">
        <v>37</v>
      </c>
      <c r="AQ38" s="128" t="s">
        <v>17</v>
      </c>
      <c r="AR38" s="216">
        <v>37</v>
      </c>
      <c r="AS38" s="128">
        <f>VLOOKUP($AQ38,'LL Revasc Data'!$A:$X,22,FALSE)</f>
        <v>50</v>
      </c>
      <c r="AT38" s="128">
        <f>VLOOKUP($AQ38,'LL Revasc Data'!$A:$X,23,FALSE)</f>
        <v>19</v>
      </c>
      <c r="AU38" s="128">
        <f>VLOOKUP($AQ38,'LL Revasc Data'!$A:$X,24,FALSE)</f>
        <v>19</v>
      </c>
    </row>
    <row r="39" spans="32:47" x14ac:dyDescent="0.25">
      <c r="AF39" s="128" t="s">
        <v>98</v>
      </c>
      <c r="AG39" s="210" t="s">
        <v>97</v>
      </c>
      <c r="AH39" s="220">
        <v>28</v>
      </c>
      <c r="AI39" s="220">
        <v>3</v>
      </c>
      <c r="AJ39" s="220">
        <v>145</v>
      </c>
      <c r="AK39" s="220">
        <v>176</v>
      </c>
      <c r="AL39" s="220">
        <v>0.15909090909090909</v>
      </c>
      <c r="AM39" s="220">
        <v>1.7045454545454544E-2</v>
      </c>
      <c r="AN39" s="220">
        <v>0.82386363636363635</v>
      </c>
      <c r="AO39" s="220">
        <v>38</v>
      </c>
      <c r="AQ39" s="128" t="s">
        <v>75</v>
      </c>
      <c r="AR39" s="216">
        <v>38</v>
      </c>
      <c r="AS39" s="128">
        <f>VLOOKUP($AQ39,'LL Revasc Data'!$A:$X,22,FALSE)</f>
        <v>50</v>
      </c>
      <c r="AT39" s="128">
        <f>VLOOKUP($AQ39,'LL Revasc Data'!$A:$X,23,FALSE)</f>
        <v>15</v>
      </c>
      <c r="AU39" s="128">
        <f>VLOOKUP($AQ39,'LL Revasc Data'!$A:$X,24,FALSE)</f>
        <v>15</v>
      </c>
    </row>
    <row r="40" spans="32:47" x14ac:dyDescent="0.25">
      <c r="AF40" s="128" t="s">
        <v>86</v>
      </c>
      <c r="AG40" s="210" t="s">
        <v>85</v>
      </c>
      <c r="AH40" s="220">
        <v>69</v>
      </c>
      <c r="AI40" s="220">
        <v>35</v>
      </c>
      <c r="AJ40" s="220">
        <v>71</v>
      </c>
      <c r="AK40" s="220">
        <v>175</v>
      </c>
      <c r="AL40" s="220">
        <v>0.39428571428571429</v>
      </c>
      <c r="AM40" s="220">
        <v>0.2</v>
      </c>
      <c r="AN40" s="220">
        <v>0.40571428571428569</v>
      </c>
      <c r="AO40" s="220">
        <v>39</v>
      </c>
      <c r="AQ40" s="128" t="s">
        <v>88</v>
      </c>
      <c r="AR40" s="216">
        <v>39</v>
      </c>
      <c r="AS40" s="128">
        <f>VLOOKUP($AQ40,'LL Revasc Data'!$A:$X,22,FALSE)</f>
        <v>50</v>
      </c>
      <c r="AT40" s="128">
        <f>VLOOKUP($AQ40,'LL Revasc Data'!$A:$X,23,FALSE)</f>
        <v>29</v>
      </c>
      <c r="AU40" s="128">
        <f>VLOOKUP($AQ40,'LL Revasc Data'!$A:$X,24,FALSE)</f>
        <v>29</v>
      </c>
    </row>
    <row r="41" spans="32:47" x14ac:dyDescent="0.25">
      <c r="AF41" s="128" t="s">
        <v>339</v>
      </c>
      <c r="AG41" s="210" t="s">
        <v>17</v>
      </c>
      <c r="AH41" s="220">
        <v>59</v>
      </c>
      <c r="AI41" s="220">
        <v>57</v>
      </c>
      <c r="AJ41" s="220">
        <v>51</v>
      </c>
      <c r="AK41" s="220">
        <v>167</v>
      </c>
      <c r="AL41" s="220">
        <v>0.3532934131736527</v>
      </c>
      <c r="AM41" s="220">
        <v>0.3413173652694611</v>
      </c>
      <c r="AN41" s="220">
        <v>0.30538922155688625</v>
      </c>
      <c r="AO41" s="220">
        <v>40</v>
      </c>
      <c r="AQ41" s="128" t="s">
        <v>25</v>
      </c>
      <c r="AR41" s="216">
        <v>40</v>
      </c>
      <c r="AS41" s="128">
        <f>VLOOKUP($AQ41,'LL Revasc Data'!$A:$X,22,FALSE)</f>
        <v>49</v>
      </c>
      <c r="AT41" s="128">
        <f>VLOOKUP($AQ41,'LL Revasc Data'!$A:$X,23,FALSE)</f>
        <v>14</v>
      </c>
      <c r="AU41" s="128">
        <f>VLOOKUP($AQ41,'LL Revasc Data'!$A:$X,24,FALSE)</f>
        <v>13</v>
      </c>
    </row>
    <row r="42" spans="32:47" x14ac:dyDescent="0.25">
      <c r="AF42" s="128" t="s">
        <v>106</v>
      </c>
      <c r="AG42" s="210" t="s">
        <v>105</v>
      </c>
      <c r="AH42" s="220">
        <v>96</v>
      </c>
      <c r="AI42" s="220">
        <v>26</v>
      </c>
      <c r="AJ42" s="220">
        <v>31</v>
      </c>
      <c r="AK42" s="220">
        <v>153</v>
      </c>
      <c r="AL42" s="220">
        <v>0.62745098039215685</v>
      </c>
      <c r="AM42" s="220">
        <v>0.16993464052287582</v>
      </c>
      <c r="AN42" s="220">
        <v>0.20261437908496732</v>
      </c>
      <c r="AO42" s="220">
        <v>41</v>
      </c>
      <c r="AQ42" s="128" t="s">
        <v>12</v>
      </c>
      <c r="AR42" s="216">
        <v>41</v>
      </c>
      <c r="AS42" s="128">
        <f>VLOOKUP($AQ42,'LL Revasc Data'!$A:$X,22,FALSE)</f>
        <v>48</v>
      </c>
      <c r="AT42" s="128">
        <f>VLOOKUP($AQ42,'LL Revasc Data'!$A:$X,23,FALSE)</f>
        <v>12</v>
      </c>
      <c r="AU42" s="128">
        <f>VLOOKUP($AQ42,'LL Revasc Data'!$A:$X,24,FALSE)</f>
        <v>12</v>
      </c>
    </row>
    <row r="43" spans="32:47" x14ac:dyDescent="0.25">
      <c r="AF43" s="128" t="s">
        <v>291</v>
      </c>
      <c r="AG43" s="210" t="s">
        <v>30</v>
      </c>
      <c r="AH43" s="220">
        <v>24</v>
      </c>
      <c r="AI43" s="220">
        <v>11</v>
      </c>
      <c r="AJ43" s="220">
        <v>114</v>
      </c>
      <c r="AK43" s="220">
        <v>149</v>
      </c>
      <c r="AL43" s="220">
        <v>0.16107382550335569</v>
      </c>
      <c r="AM43" s="220">
        <v>7.3825503355704702E-2</v>
      </c>
      <c r="AN43" s="220">
        <v>0.7651006711409396</v>
      </c>
      <c r="AO43" s="220">
        <v>42</v>
      </c>
      <c r="AQ43" s="128" t="s">
        <v>49</v>
      </c>
      <c r="AR43" s="216">
        <v>42</v>
      </c>
      <c r="AS43" s="128">
        <f>VLOOKUP($AQ43,'LL Revasc Data'!$A:$X,22,FALSE)</f>
        <v>48</v>
      </c>
      <c r="AT43" s="128">
        <f>VLOOKUP($AQ43,'LL Revasc Data'!$A:$X,23,FALSE)</f>
        <v>8.9999999999999929</v>
      </c>
      <c r="AU43" s="128">
        <f>VLOOKUP($AQ43,'LL Revasc Data'!$A:$X,24,FALSE)</f>
        <v>9</v>
      </c>
    </row>
    <row r="44" spans="32:47" x14ac:dyDescent="0.25">
      <c r="AF44" s="128" t="s">
        <v>42</v>
      </c>
      <c r="AG44" s="210" t="s">
        <v>41</v>
      </c>
      <c r="AH44" s="220">
        <v>57</v>
      </c>
      <c r="AI44" s="220">
        <v>44</v>
      </c>
      <c r="AJ44" s="220">
        <v>46</v>
      </c>
      <c r="AK44" s="220">
        <v>147</v>
      </c>
      <c r="AL44" s="220">
        <v>0.38775510204081631</v>
      </c>
      <c r="AM44" s="220">
        <v>0.29931972789115646</v>
      </c>
      <c r="AN44" s="220">
        <v>0.31292517006802723</v>
      </c>
      <c r="AO44" s="220">
        <v>43</v>
      </c>
      <c r="AQ44" s="128" t="s">
        <v>51</v>
      </c>
      <c r="AR44" s="216">
        <v>43</v>
      </c>
      <c r="AS44" s="128">
        <f>VLOOKUP($AQ44,'LL Revasc Data'!$A:$X,22,FALSE)</f>
        <v>48</v>
      </c>
      <c r="AT44" s="128">
        <f>VLOOKUP($AQ44,'LL Revasc Data'!$A:$X,23,FALSE)</f>
        <v>11</v>
      </c>
      <c r="AU44" s="128">
        <f>VLOOKUP($AQ44,'LL Revasc Data'!$A:$X,24,FALSE)</f>
        <v>10</v>
      </c>
    </row>
    <row r="45" spans="32:47" x14ac:dyDescent="0.25">
      <c r="AF45" s="128" t="s">
        <v>76</v>
      </c>
      <c r="AG45" s="210" t="s">
        <v>75</v>
      </c>
      <c r="AH45" s="220">
        <v>58</v>
      </c>
      <c r="AI45" s="220">
        <v>30</v>
      </c>
      <c r="AJ45" s="220">
        <v>36</v>
      </c>
      <c r="AK45" s="220">
        <v>124</v>
      </c>
      <c r="AL45" s="220">
        <v>0.46774193548387094</v>
      </c>
      <c r="AM45" s="220">
        <v>0.24193548387096775</v>
      </c>
      <c r="AN45" s="220">
        <v>0.29032258064516131</v>
      </c>
      <c r="AO45" s="220">
        <v>44</v>
      </c>
      <c r="AQ45" s="128" t="s">
        <v>119</v>
      </c>
      <c r="AR45" s="216">
        <v>44</v>
      </c>
      <c r="AS45" s="128">
        <f>VLOOKUP($AQ45,'LL Revasc Data'!$A:$X,22,FALSE)</f>
        <v>47</v>
      </c>
      <c r="AT45" s="128">
        <f>VLOOKUP($AQ45,'LL Revasc Data'!$A:$X,23,FALSE)</f>
        <v>9.9999999999999929</v>
      </c>
      <c r="AU45" s="128">
        <f>VLOOKUP($AQ45,'LL Revasc Data'!$A:$X,24,FALSE)</f>
        <v>10</v>
      </c>
    </row>
    <row r="46" spans="32:47" x14ac:dyDescent="0.25">
      <c r="AF46" s="128" t="s">
        <v>57</v>
      </c>
      <c r="AG46" s="210" t="s">
        <v>56</v>
      </c>
      <c r="AH46" s="220">
        <v>51</v>
      </c>
      <c r="AI46" s="220">
        <v>12</v>
      </c>
      <c r="AJ46" s="220">
        <v>59</v>
      </c>
      <c r="AK46" s="220">
        <v>122</v>
      </c>
      <c r="AL46" s="220">
        <v>0.41803278688524592</v>
      </c>
      <c r="AM46" s="220">
        <v>9.8360655737704916E-2</v>
      </c>
      <c r="AN46" s="220">
        <v>0.48360655737704916</v>
      </c>
      <c r="AO46" s="220">
        <v>45</v>
      </c>
      <c r="AQ46" s="128" t="s">
        <v>2</v>
      </c>
      <c r="AR46" s="216">
        <v>45</v>
      </c>
      <c r="AS46" s="128">
        <f>VLOOKUP($AQ46,'LL Revasc Data'!$A:$X,22,FALSE)</f>
        <v>44</v>
      </c>
      <c r="AT46" s="128">
        <f>VLOOKUP($AQ46,'LL Revasc Data'!$A:$X,23,FALSE)</f>
        <v>7</v>
      </c>
      <c r="AU46" s="128">
        <f>VLOOKUP($AQ46,'LL Revasc Data'!$A:$X,24,FALSE)</f>
        <v>6</v>
      </c>
    </row>
    <row r="47" spans="32:47" x14ac:dyDescent="0.25">
      <c r="AF47" s="128" t="s">
        <v>16</v>
      </c>
      <c r="AG47" s="210" t="s">
        <v>15</v>
      </c>
      <c r="AH47" s="220">
        <v>66</v>
      </c>
      <c r="AI47" s="220">
        <v>13</v>
      </c>
      <c r="AJ47" s="220">
        <v>34</v>
      </c>
      <c r="AK47" s="220">
        <v>113</v>
      </c>
      <c r="AL47" s="220">
        <v>0.58407079646017701</v>
      </c>
      <c r="AM47" s="220">
        <v>0.11504424778761062</v>
      </c>
      <c r="AN47" s="220">
        <v>0.30088495575221241</v>
      </c>
      <c r="AO47" s="220">
        <v>46</v>
      </c>
      <c r="AQ47" s="128" t="s">
        <v>83</v>
      </c>
      <c r="AR47" s="216">
        <v>46</v>
      </c>
      <c r="AS47" s="128">
        <f>VLOOKUP($AQ47,'LL Revasc Data'!$A:$X,22,FALSE)</f>
        <v>45</v>
      </c>
      <c r="AT47" s="128">
        <f>VLOOKUP($AQ47,'LL Revasc Data'!$A:$X,23,FALSE)</f>
        <v>7</v>
      </c>
      <c r="AU47" s="128">
        <f>VLOOKUP($AQ47,'LL Revasc Data'!$A:$X,24,FALSE)</f>
        <v>8</v>
      </c>
    </row>
    <row r="48" spans="32:47" x14ac:dyDescent="0.25">
      <c r="AF48" s="128" t="s">
        <v>95</v>
      </c>
      <c r="AG48" s="210" t="s">
        <v>94</v>
      </c>
      <c r="AH48" s="220">
        <v>37</v>
      </c>
      <c r="AI48" s="220">
        <v>48</v>
      </c>
      <c r="AJ48" s="220">
        <v>22</v>
      </c>
      <c r="AK48" s="220">
        <v>107</v>
      </c>
      <c r="AL48" s="220">
        <v>0.34579439252336447</v>
      </c>
      <c r="AM48" s="220">
        <v>0.44859813084112149</v>
      </c>
      <c r="AN48" s="220">
        <v>0.20560747663551401</v>
      </c>
      <c r="AO48" s="220">
        <v>47</v>
      </c>
      <c r="AQ48" s="128" t="s">
        <v>8</v>
      </c>
      <c r="AR48" s="216">
        <v>47</v>
      </c>
      <c r="AS48" s="128">
        <f>VLOOKUP($AQ48,'LL Revasc Data'!$A:$X,22,FALSE)</f>
        <v>44</v>
      </c>
      <c r="AT48" s="128">
        <f>VLOOKUP($AQ48,'LL Revasc Data'!$A:$X,23,FALSE)</f>
        <v>10</v>
      </c>
      <c r="AU48" s="128">
        <f>VLOOKUP($AQ48,'LL Revasc Data'!$A:$X,24,FALSE)</f>
        <v>9</v>
      </c>
    </row>
    <row r="49" spans="32:47" x14ac:dyDescent="0.25">
      <c r="AF49" s="128" t="s">
        <v>1</v>
      </c>
      <c r="AG49" s="210" t="s">
        <v>0</v>
      </c>
      <c r="AH49" s="220">
        <v>67</v>
      </c>
      <c r="AI49" s="220">
        <v>31</v>
      </c>
      <c r="AJ49" s="220">
        <v>3</v>
      </c>
      <c r="AK49" s="220">
        <v>101</v>
      </c>
      <c r="AL49" s="220">
        <v>0.6633663366336634</v>
      </c>
      <c r="AM49" s="220">
        <v>0.30693069306930693</v>
      </c>
      <c r="AN49" s="220">
        <v>2.9702970297029702E-2</v>
      </c>
      <c r="AO49" s="220">
        <v>48</v>
      </c>
      <c r="AQ49" s="128" t="s">
        <v>15</v>
      </c>
      <c r="AR49" s="216">
        <v>48</v>
      </c>
      <c r="AS49" s="128">
        <f>VLOOKUP($AQ49,'LL Revasc Data'!$A:$X,22,FALSE)</f>
        <v>44</v>
      </c>
      <c r="AT49" s="128">
        <f>VLOOKUP($AQ49,'LL Revasc Data'!$A:$X,23,FALSE)</f>
        <v>13.999999999999993</v>
      </c>
      <c r="AU49" s="128">
        <f>VLOOKUP($AQ49,'LL Revasc Data'!$A:$X,24,FALSE)</f>
        <v>13</v>
      </c>
    </row>
    <row r="50" spans="32:47" x14ac:dyDescent="0.25">
      <c r="AF50" s="128" t="s">
        <v>337</v>
      </c>
      <c r="AG50" s="210" t="s">
        <v>336</v>
      </c>
      <c r="AH50" s="220">
        <v>32</v>
      </c>
      <c r="AI50" s="220">
        <v>4</v>
      </c>
      <c r="AJ50" s="220">
        <v>49</v>
      </c>
      <c r="AK50" s="220">
        <v>85</v>
      </c>
      <c r="AL50" s="220">
        <v>0.37647058823529411</v>
      </c>
      <c r="AM50" s="220">
        <v>4.7058823529411764E-2</v>
      </c>
      <c r="AN50" s="220">
        <v>0.57647058823529407</v>
      </c>
      <c r="AO50" s="220">
        <v>49</v>
      </c>
      <c r="AQ50" s="128" t="s">
        <v>333</v>
      </c>
      <c r="AR50" s="216">
        <v>49</v>
      </c>
      <c r="AS50" s="128">
        <f>VLOOKUP($AQ50,'LL Revasc Data'!$A:$X,22,FALSE)</f>
        <v>40</v>
      </c>
      <c r="AT50" s="128">
        <f>VLOOKUP($AQ50,'LL Revasc Data'!$A:$X,23,FALSE)</f>
        <v>16.999999999999993</v>
      </c>
      <c r="AU50" s="128">
        <f>VLOOKUP($AQ50,'LL Revasc Data'!$A:$X,24,FALSE)</f>
        <v>15</v>
      </c>
    </row>
    <row r="51" spans="32:47" x14ac:dyDescent="0.25">
      <c r="AF51" s="128" t="s">
        <v>104</v>
      </c>
      <c r="AG51" s="210" t="s">
        <v>103</v>
      </c>
      <c r="AH51" s="220">
        <v>13</v>
      </c>
      <c r="AI51" s="220">
        <v>10</v>
      </c>
      <c r="AJ51" s="220">
        <v>60</v>
      </c>
      <c r="AK51" s="220">
        <v>83</v>
      </c>
      <c r="AL51" s="220">
        <v>0.15662650602409639</v>
      </c>
      <c r="AM51" s="220">
        <v>0.12048192771084337</v>
      </c>
      <c r="AN51" s="220">
        <v>0.72289156626506024</v>
      </c>
      <c r="AO51" s="220">
        <v>50</v>
      </c>
      <c r="AQ51" s="128" t="s">
        <v>113</v>
      </c>
      <c r="AR51" s="216">
        <v>50</v>
      </c>
      <c r="AS51" s="128">
        <f>VLOOKUP($AQ51,'LL Revasc Data'!$A:$X,22,FALSE)</f>
        <v>38</v>
      </c>
      <c r="AT51" s="128">
        <f>VLOOKUP($AQ51,'LL Revasc Data'!$A:$X,23,FALSE)</f>
        <v>9</v>
      </c>
      <c r="AU51" s="128">
        <f>VLOOKUP($AQ51,'LL Revasc Data'!$A:$X,24,FALSE)</f>
        <v>8</v>
      </c>
    </row>
    <row r="52" spans="32:47" x14ac:dyDescent="0.25">
      <c r="AF52" s="128" t="s">
        <v>126</v>
      </c>
      <c r="AG52" s="210" t="s">
        <v>125</v>
      </c>
      <c r="AH52" s="220">
        <v>79</v>
      </c>
      <c r="AI52" s="220">
        <v>3</v>
      </c>
      <c r="AJ52" s="220">
        <v>0</v>
      </c>
      <c r="AK52" s="220">
        <v>82</v>
      </c>
      <c r="AL52" s="220">
        <v>0.96341463414634143</v>
      </c>
      <c r="AM52" s="220">
        <v>3.6585365853658534E-2</v>
      </c>
      <c r="AN52" s="220">
        <v>0</v>
      </c>
      <c r="AO52" s="220">
        <v>51</v>
      </c>
      <c r="AQ52" s="128" t="s">
        <v>10</v>
      </c>
      <c r="AR52" s="216">
        <v>51</v>
      </c>
      <c r="AS52" s="128">
        <f>VLOOKUP($AQ52,'LL Revasc Data'!$A:$X,22,FALSE)</f>
        <v>35</v>
      </c>
      <c r="AT52" s="128">
        <f>VLOOKUP($AQ52,'LL Revasc Data'!$A:$X,23,FALSE)</f>
        <v>21.999999999999993</v>
      </c>
      <c r="AU52" s="128">
        <f>VLOOKUP($AQ52,'LL Revasc Data'!$A:$X,24,FALSE)</f>
        <v>19</v>
      </c>
    </row>
    <row r="53" spans="32:47" x14ac:dyDescent="0.25">
      <c r="AF53" s="128" t="s">
        <v>124</v>
      </c>
      <c r="AG53" s="210" t="s">
        <v>123</v>
      </c>
      <c r="AH53" s="220">
        <v>59</v>
      </c>
      <c r="AI53" s="220">
        <v>18</v>
      </c>
      <c r="AJ53" s="220">
        <v>2</v>
      </c>
      <c r="AK53" s="220">
        <v>79</v>
      </c>
      <c r="AL53" s="220">
        <v>0.74683544303797467</v>
      </c>
      <c r="AM53" s="220">
        <v>0.22784810126582278</v>
      </c>
      <c r="AN53" s="220">
        <v>2.5316455696202531E-2</v>
      </c>
      <c r="AO53" s="220">
        <v>52</v>
      </c>
      <c r="AQ53" s="128" t="s">
        <v>29</v>
      </c>
      <c r="AR53" s="216">
        <v>52</v>
      </c>
      <c r="AS53" s="128">
        <f>VLOOKUP($AQ53,'LL Revasc Data'!$A:$X,22,FALSE)</f>
        <v>35</v>
      </c>
      <c r="AT53" s="128">
        <f>VLOOKUP($AQ53,'LL Revasc Data'!$A:$X,23,FALSE)</f>
        <v>8</v>
      </c>
      <c r="AU53" s="128">
        <f>VLOOKUP($AQ53,'LL Revasc Data'!$A:$X,24,FALSE)</f>
        <v>8</v>
      </c>
    </row>
    <row r="54" spans="32:47" x14ac:dyDescent="0.25">
      <c r="AF54" s="128" t="s">
        <v>132</v>
      </c>
      <c r="AG54" s="210" t="s">
        <v>131</v>
      </c>
      <c r="AH54" s="220">
        <v>65</v>
      </c>
      <c r="AI54" s="220">
        <v>11</v>
      </c>
      <c r="AJ54" s="220">
        <v>0</v>
      </c>
      <c r="AK54" s="220">
        <v>76</v>
      </c>
      <c r="AL54" s="220">
        <v>0.85526315789473684</v>
      </c>
      <c r="AM54" s="220">
        <v>0.14473684210526316</v>
      </c>
      <c r="AN54" s="220">
        <v>0</v>
      </c>
      <c r="AO54" s="220">
        <v>53</v>
      </c>
      <c r="AQ54" s="128" t="s">
        <v>30</v>
      </c>
      <c r="AR54" s="216">
        <v>53</v>
      </c>
      <c r="AS54" s="128">
        <f>VLOOKUP($AQ54,'LL Revasc Data'!$A:$X,22,FALSE)</f>
        <v>35</v>
      </c>
      <c r="AT54" s="128">
        <f>VLOOKUP($AQ54,'LL Revasc Data'!$A:$X,23,FALSE)</f>
        <v>17</v>
      </c>
      <c r="AU54" s="128">
        <f>VLOOKUP($AQ54,'LL Revasc Data'!$A:$X,24,FALSE)</f>
        <v>14</v>
      </c>
    </row>
    <row r="55" spans="32:47" x14ac:dyDescent="0.25">
      <c r="AF55" s="128" t="s">
        <v>91</v>
      </c>
      <c r="AG55" s="210" t="s">
        <v>90</v>
      </c>
      <c r="AH55" s="220">
        <v>56</v>
      </c>
      <c r="AI55" s="220">
        <v>5</v>
      </c>
      <c r="AJ55" s="220">
        <v>10</v>
      </c>
      <c r="AK55" s="220">
        <v>71</v>
      </c>
      <c r="AL55" s="220">
        <v>0.78873239436619713</v>
      </c>
      <c r="AM55" s="220">
        <v>7.0422535211267609E-2</v>
      </c>
      <c r="AN55" s="220">
        <v>0.14084507042253522</v>
      </c>
      <c r="AO55" s="220">
        <v>54</v>
      </c>
      <c r="AQ55" s="128" t="s">
        <v>360</v>
      </c>
      <c r="AR55" s="216">
        <v>54</v>
      </c>
      <c r="AS55" s="128">
        <f>VLOOKUP($AQ55,'LL Revasc Data'!$A:$X,22,FALSE)</f>
        <v>34</v>
      </c>
      <c r="AT55" s="128">
        <f>VLOOKUP($AQ55,'LL Revasc Data'!$A:$X,23,FALSE)</f>
        <v>12</v>
      </c>
      <c r="AU55" s="128">
        <f>VLOOKUP($AQ55,'LL Revasc Data'!$A:$X,24,FALSE)</f>
        <v>11</v>
      </c>
    </row>
    <row r="56" spans="32:47" x14ac:dyDescent="0.25">
      <c r="AF56" s="128" t="s">
        <v>134</v>
      </c>
      <c r="AG56" s="210" t="s">
        <v>133</v>
      </c>
      <c r="AH56" s="220">
        <v>57</v>
      </c>
      <c r="AI56" s="220">
        <v>10</v>
      </c>
      <c r="AJ56" s="220">
        <v>0</v>
      </c>
      <c r="AK56" s="220">
        <v>67</v>
      </c>
      <c r="AL56" s="220">
        <v>0.85074626865671643</v>
      </c>
      <c r="AM56" s="220">
        <v>0.14925373134328357</v>
      </c>
      <c r="AN56" s="220">
        <v>0</v>
      </c>
      <c r="AO56" s="220">
        <v>55</v>
      </c>
      <c r="AQ56" s="128" t="s">
        <v>87</v>
      </c>
      <c r="AR56" s="216">
        <v>55</v>
      </c>
      <c r="AS56" s="128">
        <f>VLOOKUP($AQ56,'LL Revasc Data'!$A:$X,22,FALSE)</f>
        <v>31</v>
      </c>
      <c r="AT56" s="128">
        <f>VLOOKUP($AQ56,'LL Revasc Data'!$A:$X,23,FALSE)</f>
        <v>8</v>
      </c>
      <c r="AU56" s="128">
        <f>VLOOKUP($AQ56,'LL Revasc Data'!$A:$X,24,FALSE)</f>
        <v>7</v>
      </c>
    </row>
    <row r="57" spans="32:47" x14ac:dyDescent="0.25">
      <c r="AF57" s="128" t="s">
        <v>128</v>
      </c>
      <c r="AG57" s="210" t="s">
        <v>127</v>
      </c>
      <c r="AH57" s="220">
        <v>50</v>
      </c>
      <c r="AI57" s="220">
        <v>11</v>
      </c>
      <c r="AJ57" s="220">
        <v>0</v>
      </c>
      <c r="AK57" s="220">
        <v>61</v>
      </c>
      <c r="AL57" s="220">
        <v>0.81967213114754101</v>
      </c>
      <c r="AM57" s="220">
        <v>0.18032786885245902</v>
      </c>
      <c r="AN57" s="220">
        <v>0</v>
      </c>
      <c r="AO57" s="220">
        <v>56</v>
      </c>
      <c r="AQ57" s="128" t="s">
        <v>45</v>
      </c>
      <c r="AR57" s="216">
        <v>56</v>
      </c>
      <c r="AS57" s="128">
        <f>VLOOKUP($AQ57,'LL Revasc Data'!$A:$X,22,FALSE)</f>
        <v>30</v>
      </c>
      <c r="AT57" s="128">
        <f>VLOOKUP($AQ57,'LL Revasc Data'!$A:$X,23,FALSE)</f>
        <v>7</v>
      </c>
      <c r="AU57" s="128">
        <f>VLOOKUP($AQ57,'LL Revasc Data'!$A:$X,24,FALSE)</f>
        <v>6</v>
      </c>
    </row>
    <row r="58" spans="32:47" x14ac:dyDescent="0.25">
      <c r="AF58" s="128" t="s">
        <v>298</v>
      </c>
      <c r="AG58" s="210" t="s">
        <v>88</v>
      </c>
      <c r="AH58" s="220">
        <v>38</v>
      </c>
      <c r="AI58" s="220">
        <v>15</v>
      </c>
      <c r="AJ58" s="220">
        <v>5</v>
      </c>
      <c r="AK58" s="220">
        <v>58</v>
      </c>
      <c r="AL58" s="220">
        <v>0.65517241379310343</v>
      </c>
      <c r="AM58" s="220">
        <v>0.25862068965517243</v>
      </c>
      <c r="AN58" s="220">
        <v>8.6206896551724144E-2</v>
      </c>
      <c r="AO58" s="220">
        <v>57</v>
      </c>
      <c r="AQ58" s="128" t="s">
        <v>97</v>
      </c>
      <c r="AR58" s="216">
        <v>57</v>
      </c>
      <c r="AS58" s="128">
        <f>VLOOKUP($AQ58,'LL Revasc Data'!$A:$X,22,FALSE)</f>
        <v>24</v>
      </c>
      <c r="AT58" s="128">
        <f>VLOOKUP($AQ58,'LL Revasc Data'!$A:$X,23,FALSE)</f>
        <v>11</v>
      </c>
      <c r="AU58" s="128">
        <f>VLOOKUP($AQ58,'LL Revasc Data'!$A:$X,24,FALSE)</f>
        <v>9.9999999999999982</v>
      </c>
    </row>
    <row r="59" spans="32:47" x14ac:dyDescent="0.25">
      <c r="AF59" s="128" t="s">
        <v>110</v>
      </c>
      <c r="AG59" s="210" t="s">
        <v>109</v>
      </c>
      <c r="AH59" s="220">
        <v>53</v>
      </c>
      <c r="AI59" s="220">
        <v>4</v>
      </c>
      <c r="AJ59" s="220">
        <v>0</v>
      </c>
      <c r="AK59" s="220">
        <v>57</v>
      </c>
      <c r="AL59" s="220">
        <v>0.92982456140350878</v>
      </c>
      <c r="AM59" s="220">
        <v>7.0175438596491224E-2</v>
      </c>
      <c r="AN59" s="220">
        <v>0</v>
      </c>
      <c r="AO59" s="220">
        <v>58</v>
      </c>
      <c r="AQ59" s="128" t="s">
        <v>0</v>
      </c>
      <c r="AR59" s="216">
        <v>58</v>
      </c>
      <c r="AS59" s="128">
        <f>VLOOKUP($AQ59,'LL Revasc Data'!$A:$X,22,FALSE)</f>
        <v>17</v>
      </c>
      <c r="AT59" s="128">
        <f>VLOOKUP($AQ59,'LL Revasc Data'!$A:$X,23,FALSE)</f>
        <v>17</v>
      </c>
      <c r="AU59" s="128">
        <f>VLOOKUP($AQ59,'LL Revasc Data'!$A:$X,24,FALSE)</f>
        <v>10</v>
      </c>
    </row>
    <row r="60" spans="32:47" x14ac:dyDescent="0.25">
      <c r="AF60" s="128" t="s">
        <v>7</v>
      </c>
      <c r="AG60" s="210" t="s">
        <v>6</v>
      </c>
      <c r="AH60" s="220">
        <v>15</v>
      </c>
      <c r="AI60" s="220">
        <v>3</v>
      </c>
      <c r="AJ60" s="220">
        <v>38</v>
      </c>
      <c r="AK60" s="220">
        <v>56</v>
      </c>
      <c r="AL60" s="220">
        <v>0.26785714285714285</v>
      </c>
      <c r="AM60" s="220">
        <v>5.3571428571428568E-2</v>
      </c>
      <c r="AN60" s="220">
        <v>0.6785714285714286</v>
      </c>
      <c r="AO60" s="220">
        <v>59</v>
      </c>
      <c r="AQ60" s="128" t="s">
        <v>109</v>
      </c>
      <c r="AR60" s="216">
        <v>59</v>
      </c>
      <c r="AS60" s="128">
        <f>VLOOKUP($AQ60,'LL Revasc Data'!$A:$X,22,FALSE)</f>
        <v>17</v>
      </c>
      <c r="AT60" s="128">
        <f>VLOOKUP($AQ60,'LL Revasc Data'!$A:$X,23,FALSE)</f>
        <v>22</v>
      </c>
      <c r="AU60" s="128">
        <f>VLOOKUP($AQ60,'LL Revasc Data'!$A:$X,24,FALSE)</f>
        <v>12</v>
      </c>
    </row>
    <row r="61" spans="32:47" x14ac:dyDescent="0.25">
      <c r="AF61" s="128" t="s">
        <v>11</v>
      </c>
      <c r="AG61" s="210" t="s">
        <v>10</v>
      </c>
      <c r="AH61" s="220">
        <v>6</v>
      </c>
      <c r="AI61" s="220">
        <v>6</v>
      </c>
      <c r="AJ61" s="220">
        <v>43</v>
      </c>
      <c r="AK61" s="220">
        <v>55</v>
      </c>
      <c r="AL61" s="220">
        <v>0.10909090909090909</v>
      </c>
      <c r="AM61" s="220">
        <v>0.10909090909090909</v>
      </c>
      <c r="AN61" s="220">
        <v>0.78181818181818186</v>
      </c>
      <c r="AO61" s="220">
        <v>60</v>
      </c>
    </row>
    <row r="62" spans="32:47" x14ac:dyDescent="0.25">
      <c r="AF62" s="128" t="s">
        <v>452</v>
      </c>
      <c r="AG62" s="210" t="s">
        <v>101</v>
      </c>
      <c r="AH62" s="220">
        <v>28</v>
      </c>
      <c r="AI62" s="220">
        <v>10</v>
      </c>
      <c r="AJ62" s="220">
        <v>6</v>
      </c>
      <c r="AK62" s="220">
        <v>44</v>
      </c>
      <c r="AL62" s="220">
        <v>0.63636363636363635</v>
      </c>
      <c r="AM62" s="220">
        <v>0.22727272727272727</v>
      </c>
      <c r="AN62" s="220">
        <v>0.13636363636363635</v>
      </c>
      <c r="AO62" s="220">
        <v>61</v>
      </c>
    </row>
    <row r="63" spans="32:47" x14ac:dyDescent="0.25">
      <c r="AF63" s="128" t="s">
        <v>159</v>
      </c>
      <c r="AG63" s="210" t="s">
        <v>55</v>
      </c>
      <c r="AH63" s="220">
        <v>30</v>
      </c>
      <c r="AI63" s="220">
        <v>4</v>
      </c>
      <c r="AJ63" s="220">
        <v>0</v>
      </c>
      <c r="AK63" s="220">
        <v>34</v>
      </c>
      <c r="AL63" s="220">
        <v>0.88235294117647056</v>
      </c>
      <c r="AM63" s="220">
        <v>0.11764705882352941</v>
      </c>
      <c r="AN63" s="220">
        <v>0</v>
      </c>
      <c r="AO63" s="220">
        <v>62</v>
      </c>
    </row>
    <row r="64" spans="32:47" x14ac:dyDescent="0.25">
      <c r="AF64" s="128" t="s">
        <v>19</v>
      </c>
      <c r="AG64" s="210" t="s">
        <v>18</v>
      </c>
      <c r="AH64" s="220">
        <v>12</v>
      </c>
      <c r="AI64" s="220">
        <v>5</v>
      </c>
      <c r="AJ64" s="220">
        <v>3</v>
      </c>
      <c r="AK64" s="220">
        <v>20</v>
      </c>
      <c r="AL64" s="220">
        <v>0.6</v>
      </c>
      <c r="AM64" s="220">
        <v>0.25</v>
      </c>
      <c r="AN64" s="220">
        <v>0.15</v>
      </c>
      <c r="AO64" s="220">
        <v>63</v>
      </c>
    </row>
    <row r="65" spans="32:41" x14ac:dyDescent="0.25">
      <c r="AF65" s="128" t="s">
        <v>70</v>
      </c>
      <c r="AG65" s="210" t="s">
        <v>69</v>
      </c>
      <c r="AH65" s="220">
        <v>8</v>
      </c>
      <c r="AI65" s="220">
        <v>3</v>
      </c>
      <c r="AJ65" s="220">
        <v>6</v>
      </c>
      <c r="AK65" s="220">
        <v>17</v>
      </c>
      <c r="AL65" s="220">
        <v>0.47058823529411764</v>
      </c>
      <c r="AM65" s="220">
        <v>0.17647058823529413</v>
      </c>
      <c r="AN65" s="220">
        <v>0.35294117647058826</v>
      </c>
      <c r="AO65" s="220">
        <v>64</v>
      </c>
    </row>
    <row r="66" spans="32:41" x14ac:dyDescent="0.25">
      <c r="AF66" s="128" t="s">
        <v>293</v>
      </c>
      <c r="AG66" s="210" t="s">
        <v>68</v>
      </c>
      <c r="AH66" s="220">
        <v>8</v>
      </c>
      <c r="AI66" s="220">
        <v>1</v>
      </c>
      <c r="AJ66" s="220">
        <v>3</v>
      </c>
      <c r="AK66" s="220">
        <v>12</v>
      </c>
      <c r="AL66" s="220">
        <v>0.66666666666666663</v>
      </c>
      <c r="AM66" s="220">
        <v>8.3333333333333329E-2</v>
      </c>
      <c r="AN66" s="220">
        <v>0.25</v>
      </c>
      <c r="AO66" s="220">
        <v>65</v>
      </c>
    </row>
    <row r="67" spans="32:41" x14ac:dyDescent="0.25">
      <c r="AF67" s="128" t="s">
        <v>130</v>
      </c>
      <c r="AG67" s="210" t="s">
        <v>129</v>
      </c>
      <c r="AH67" s="220">
        <v>10</v>
      </c>
      <c r="AI67" s="220">
        <v>0</v>
      </c>
      <c r="AJ67" s="220">
        <v>0</v>
      </c>
      <c r="AK67" s="220">
        <v>10</v>
      </c>
      <c r="AL67" s="220">
        <v>1</v>
      </c>
      <c r="AM67" s="220">
        <v>0</v>
      </c>
      <c r="AN67" s="220">
        <v>0</v>
      </c>
      <c r="AO67" s="220">
        <v>66</v>
      </c>
    </row>
    <row r="68" spans="32:41" x14ac:dyDescent="0.25">
      <c r="AF68" s="128" t="s">
        <v>72</v>
      </c>
      <c r="AG68" s="210" t="s">
        <v>71</v>
      </c>
      <c r="AH68" s="220">
        <v>10</v>
      </c>
      <c r="AI68" s="220">
        <v>0</v>
      </c>
      <c r="AJ68" s="220">
        <v>0</v>
      </c>
      <c r="AK68" s="220">
        <v>10</v>
      </c>
      <c r="AL68" s="220">
        <v>1</v>
      </c>
      <c r="AM68" s="220">
        <v>0</v>
      </c>
      <c r="AN68" s="220">
        <v>0</v>
      </c>
      <c r="AO68" s="220">
        <v>67</v>
      </c>
    </row>
    <row r="69" spans="32:41" x14ac:dyDescent="0.25">
      <c r="AF69" s="128" t="s">
        <v>82</v>
      </c>
      <c r="AG69" s="210" t="s">
        <v>81</v>
      </c>
      <c r="AH69" s="220">
        <v>3</v>
      </c>
      <c r="AI69" s="220">
        <v>1</v>
      </c>
      <c r="AJ69" s="220">
        <v>1</v>
      </c>
      <c r="AK69" s="220">
        <v>5</v>
      </c>
      <c r="AL69" s="220">
        <v>0.6</v>
      </c>
      <c r="AM69" s="220">
        <v>0.2</v>
      </c>
      <c r="AN69" s="220">
        <v>0.2</v>
      </c>
      <c r="AO69" s="220">
        <v>68</v>
      </c>
    </row>
    <row r="70" spans="32:41" x14ac:dyDescent="0.25">
      <c r="AF70" s="222" t="s">
        <v>14</v>
      </c>
      <c r="AG70" s="210" t="s">
        <v>13</v>
      </c>
      <c r="AH70" s="220">
        <v>2</v>
      </c>
      <c r="AI70" s="220">
        <v>2</v>
      </c>
      <c r="AJ70" s="220">
        <v>0</v>
      </c>
      <c r="AK70" s="220">
        <v>4</v>
      </c>
      <c r="AL70" s="220">
        <v>0.5</v>
      </c>
      <c r="AM70" s="220">
        <v>0.5</v>
      </c>
      <c r="AN70" s="220">
        <v>0</v>
      </c>
      <c r="AO70" s="220">
        <v>69</v>
      </c>
    </row>
  </sheetData>
  <mergeCells count="2">
    <mergeCell ref="B31:C31"/>
    <mergeCell ref="E1:G1"/>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'LL Revasc Data'!$D$1:$E$1</xm:f>
          </x14:formula1>
          <xm:sqref>E1</xm:sqref>
        </x14:dataValidation>
        <x14:dataValidation type="list" allowBlank="1" showInputMessage="1" showErrorMessage="1">
          <x14:formula1>
            <xm:f>'LL Revasc Data'!$B$2:$B$92</xm:f>
          </x14:formula1>
          <xm:sqref>B1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8"/>
  <sheetViews>
    <sheetView zoomScaleNormal="100" workbookViewId="0">
      <pane xSplit="1" ySplit="7" topLeftCell="B17" activePane="bottomRight" state="frozen"/>
      <selection pane="topRight" activeCell="B1" sqref="B1"/>
      <selection pane="bottomLeft" activeCell="A8" sqref="A8"/>
      <selection pane="bottomRight" activeCell="G29" sqref="G29"/>
    </sheetView>
  </sheetViews>
  <sheetFormatPr defaultRowHeight="15" x14ac:dyDescent="0.25"/>
  <cols>
    <col min="1" max="1" width="6.42578125" bestFit="1" customWidth="1"/>
    <col min="2" max="2" width="61" bestFit="1" customWidth="1"/>
    <col min="3" max="3" width="6" bestFit="1" customWidth="1"/>
    <col min="4" max="4" width="6.42578125" bestFit="1" customWidth="1"/>
    <col min="5" max="5" width="11.42578125" customWidth="1"/>
    <col min="6" max="6" width="13.28515625" customWidth="1"/>
    <col min="7" max="7" width="12.5703125" customWidth="1"/>
    <col min="8" max="8" width="12.140625" customWidth="1"/>
    <col min="9" max="11" width="9" customWidth="1"/>
    <col min="12" max="12" width="11.42578125" customWidth="1"/>
    <col min="13" max="13" width="13.5703125" customWidth="1"/>
    <col min="14" max="14" width="13.7109375" customWidth="1"/>
    <col min="16" max="16" width="13" customWidth="1"/>
    <col min="17" max="17" width="15.42578125" customWidth="1"/>
    <col min="18" max="18" width="13.28515625" customWidth="1"/>
  </cols>
  <sheetData>
    <row r="1" spans="1:22" x14ac:dyDescent="0.25">
      <c r="A1">
        <v>0</v>
      </c>
      <c r="B1" t="s">
        <v>258</v>
      </c>
      <c r="E1">
        <f t="shared" ref="E1:H5" si="0">QUARTILE(E$8:E$78,$A1)</f>
        <v>0.48148150000000001</v>
      </c>
      <c r="F1">
        <f t="shared" si="0"/>
        <v>0</v>
      </c>
      <c r="G1">
        <f t="shared" si="0"/>
        <v>0.42857139999999999</v>
      </c>
      <c r="H1">
        <f t="shared" si="0"/>
        <v>0.1129032</v>
      </c>
    </row>
    <row r="2" spans="1:22" x14ac:dyDescent="0.25">
      <c r="A2">
        <v>1</v>
      </c>
      <c r="B2" t="s">
        <v>259</v>
      </c>
      <c r="E2">
        <f t="shared" si="0"/>
        <v>0.86875002499999998</v>
      </c>
      <c r="F2">
        <f t="shared" si="0"/>
        <v>0.96666660000000004</v>
      </c>
      <c r="G2">
        <f t="shared" si="0"/>
        <v>0.87092389999999997</v>
      </c>
      <c r="H2">
        <f t="shared" si="0"/>
        <v>0.80098040000000004</v>
      </c>
    </row>
    <row r="3" spans="1:22" x14ac:dyDescent="0.25">
      <c r="A3">
        <v>2</v>
      </c>
      <c r="B3" t="s">
        <v>260</v>
      </c>
      <c r="E3">
        <f t="shared" si="0"/>
        <v>0.95833330000000005</v>
      </c>
      <c r="F3">
        <f t="shared" si="0"/>
        <v>1</v>
      </c>
      <c r="G3">
        <f t="shared" si="0"/>
        <v>0.96153840000000002</v>
      </c>
      <c r="H3">
        <f t="shared" si="0"/>
        <v>0.92307689999999998</v>
      </c>
    </row>
    <row r="4" spans="1:22" x14ac:dyDescent="0.25">
      <c r="A4">
        <v>3</v>
      </c>
      <c r="B4" t="s">
        <v>261</v>
      </c>
      <c r="E4">
        <f t="shared" si="0"/>
        <v>1</v>
      </c>
      <c r="F4">
        <f t="shared" si="0"/>
        <v>1</v>
      </c>
      <c r="G4">
        <f t="shared" si="0"/>
        <v>1</v>
      </c>
      <c r="H4">
        <f t="shared" si="0"/>
        <v>0.97268739999999998</v>
      </c>
    </row>
    <row r="5" spans="1:22" x14ac:dyDescent="0.25">
      <c r="A5">
        <v>4</v>
      </c>
      <c r="B5" t="s">
        <v>262</v>
      </c>
      <c r="E5">
        <f t="shared" si="0"/>
        <v>1</v>
      </c>
      <c r="F5">
        <f t="shared" si="0"/>
        <v>1</v>
      </c>
      <c r="G5">
        <f t="shared" si="0"/>
        <v>1</v>
      </c>
      <c r="H5">
        <f t="shared" si="0"/>
        <v>1</v>
      </c>
    </row>
    <row r="7" spans="1:22" ht="90" x14ac:dyDescent="0.25">
      <c r="A7" s="4" t="s">
        <v>140</v>
      </c>
      <c r="B7" s="4" t="s">
        <v>139</v>
      </c>
      <c r="C7" s="4" t="s">
        <v>148</v>
      </c>
      <c r="D7" s="4" t="s">
        <v>149</v>
      </c>
      <c r="E7" s="4" t="s">
        <v>156</v>
      </c>
      <c r="F7" s="4" t="s">
        <v>150</v>
      </c>
      <c r="G7" s="4" t="s">
        <v>151</v>
      </c>
      <c r="H7" s="4" t="s">
        <v>152</v>
      </c>
      <c r="I7" s="4" t="s">
        <v>364</v>
      </c>
      <c r="J7" s="4" t="s">
        <v>365</v>
      </c>
      <c r="K7" s="4" t="s">
        <v>366</v>
      </c>
      <c r="L7" s="4" t="s">
        <v>155</v>
      </c>
      <c r="M7" s="4" t="s">
        <v>154</v>
      </c>
      <c r="N7" s="4" t="s">
        <v>332</v>
      </c>
      <c r="O7" s="4" t="s">
        <v>140</v>
      </c>
      <c r="P7" s="11" t="s">
        <v>263</v>
      </c>
      <c r="Q7" s="25" t="s">
        <v>264</v>
      </c>
      <c r="R7" s="25" t="s">
        <v>265</v>
      </c>
      <c r="S7" s="25" t="s">
        <v>266</v>
      </c>
      <c r="T7" s="25" t="s">
        <v>276</v>
      </c>
      <c r="U7" s="25" t="s">
        <v>283</v>
      </c>
      <c r="V7" s="21" t="s">
        <v>367</v>
      </c>
    </row>
    <row r="8" spans="1:22" x14ac:dyDescent="0.25">
      <c r="A8" t="s">
        <v>6</v>
      </c>
      <c r="B8" t="s">
        <v>7</v>
      </c>
      <c r="C8" s="5">
        <v>12</v>
      </c>
      <c r="D8" s="5">
        <v>7</v>
      </c>
      <c r="E8" s="49">
        <v>0.91666669999999995</v>
      </c>
      <c r="F8" s="49">
        <v>0.91666669999999995</v>
      </c>
      <c r="G8" s="49">
        <v>0.91666669999999995</v>
      </c>
      <c r="H8" s="49">
        <v>0.91666669999999995</v>
      </c>
      <c r="I8" s="51">
        <f>C8-D8</f>
        <v>5</v>
      </c>
      <c r="J8" s="49">
        <v>0.58333333333333337</v>
      </c>
      <c r="K8" s="49">
        <v>0.41666666666666669</v>
      </c>
      <c r="L8" s="5" t="s">
        <v>189</v>
      </c>
      <c r="M8" s="5" t="s">
        <v>167</v>
      </c>
      <c r="N8" s="50">
        <v>2.3226299999999998</v>
      </c>
      <c r="O8" t="str">
        <f>A8</f>
        <v>7A6</v>
      </c>
      <c r="P8" s="22">
        <f>+IF(E8&lt;E$2,1,IF(E8&lt;E$3,2,IF(E8&lt;E$4,3,4)))</f>
        <v>2</v>
      </c>
      <c r="Q8" s="22">
        <f>+IF(F8&lt;F$2,1,IF(F8&lt;F$3,2,IF(F8&lt;F$4,3,4)))</f>
        <v>1</v>
      </c>
      <c r="R8" s="22">
        <f>+IF(G8&lt;G$2,1,IF(G8&lt;G$3,2,IF(G8&lt;G$4,3,4)))</f>
        <v>2</v>
      </c>
      <c r="S8" s="22">
        <f>+IF(H8&lt;H$2,1,IF(H8&lt;H$3,2,IF(H8&lt;H$4,3,4)))</f>
        <v>2</v>
      </c>
      <c r="T8" s="40" t="e">
        <f>IF(#REF!=4, RANK(H8,H$8:H$82,1)+COUNTIF($H$8:H8,H8)-1, IF(#REF!=3, RANK(G8,G$8:G$82,1)+COUNTIF($G$8:G8,G8)-1, IF(#REF!=2, RANK(F8,F$8:F$82,1)+COUNTIF($F$8:F8,F8)-1, IF(#REF!=1, RANK(E8,E$8:E$82,1)+COUNTIF($E$8:E8,E8)-1))))</f>
        <v>#REF!</v>
      </c>
      <c r="U8" s="28" t="e">
        <f>IF(#REF!=4, H8, IF(#REF!=3, G8, IF(#REF!=2, F8, IF(#REF!=1, E8))))</f>
        <v>#REF!</v>
      </c>
      <c r="V8">
        <f t="shared" ref="V8:V40" si="1">RANK(J8,$J$8:$J$78)</f>
        <v>35</v>
      </c>
    </row>
    <row r="9" spans="1:22" x14ac:dyDescent="0.25">
      <c r="A9" t="s">
        <v>89</v>
      </c>
      <c r="B9" t="s">
        <v>290</v>
      </c>
      <c r="C9" s="5">
        <v>15</v>
      </c>
      <c r="D9" s="5">
        <v>9</v>
      </c>
      <c r="E9" s="49">
        <v>0.86666670000000001</v>
      </c>
      <c r="F9" s="49">
        <v>1</v>
      </c>
      <c r="G9" s="49">
        <v>0.83333330000000005</v>
      </c>
      <c r="H9" s="49">
        <v>0.73333329999999997</v>
      </c>
      <c r="I9" s="51">
        <f t="shared" ref="I9:I72" si="2">C9-D9</f>
        <v>6</v>
      </c>
      <c r="J9" s="49">
        <v>0.6</v>
      </c>
      <c r="K9" s="49">
        <v>0.4</v>
      </c>
      <c r="L9" s="5" t="s">
        <v>176</v>
      </c>
      <c r="M9" s="5" t="s">
        <v>203</v>
      </c>
      <c r="N9" s="50">
        <v>1.43868</v>
      </c>
      <c r="O9" t="str">
        <f t="shared" ref="O9:O72" si="3">A9</f>
        <v>RTK</v>
      </c>
      <c r="P9" s="22">
        <f t="shared" ref="P9:P72" si="4">+IF(E9&lt;E$2,1,IF(E9&lt;E$3,2,IF(E9&lt;E$4,3,4)))</f>
        <v>1</v>
      </c>
      <c r="Q9" s="22">
        <f t="shared" ref="Q9:Q72" si="5">+IF(F9&lt;F$2,1,IF(F9&lt;F$3,2,IF(F9&lt;F$4,3,4)))</f>
        <v>4</v>
      </c>
      <c r="R9" s="22">
        <f t="shared" ref="R9:R72" si="6">+IF(G9&lt;G$2,1,IF(G9&lt;G$3,2,IF(G9&lt;G$4,3,4)))</f>
        <v>1</v>
      </c>
      <c r="S9" s="22">
        <f t="shared" ref="S9:S72" si="7">+IF(H9&lt;H$2,1,IF(H9&lt;H$3,2,IF(H9&lt;H$4,3,4)))</f>
        <v>1</v>
      </c>
      <c r="T9" s="40" t="e">
        <f>IF(#REF!=4, RANK(H9,H$8:H$82,1)+COUNTIF($H$8:H9,H9)-1, IF(#REF!=3, RANK(G9,G$8:G$82,1)+COUNTIF($G$8:G9,G9)-1, IF(#REF!=2, RANK(F9,F$8:F$82,1)+COUNTIF($F$8:F9,F9)-1, IF(#REF!=1, RANK(E9,E$8:E$82,1)+COUNTIF($E$8:E9,E9)-1))))</f>
        <v>#REF!</v>
      </c>
      <c r="U9" s="28" t="e">
        <f>IF(#REF!=4, H9, IF(#REF!=3, G9, IF(#REF!=2, F9, IF(#REF!=1, E9))))</f>
        <v>#REF!</v>
      </c>
      <c r="V9">
        <f t="shared" si="1"/>
        <v>32</v>
      </c>
    </row>
    <row r="10" spans="1:22" x14ac:dyDescent="0.25">
      <c r="A10" t="s">
        <v>30</v>
      </c>
      <c r="B10" t="s">
        <v>291</v>
      </c>
      <c r="C10" s="5">
        <v>17</v>
      </c>
      <c r="D10" s="5">
        <v>16</v>
      </c>
      <c r="E10" s="49">
        <v>0.94117649999999997</v>
      </c>
      <c r="F10" s="49">
        <v>1</v>
      </c>
      <c r="G10" s="49">
        <v>0.9375</v>
      </c>
      <c r="H10" s="49">
        <v>0.94117649999999997</v>
      </c>
      <c r="I10" s="51">
        <f t="shared" si="2"/>
        <v>1</v>
      </c>
      <c r="J10" s="49">
        <v>0.94117647058823528</v>
      </c>
      <c r="K10" s="49">
        <v>5.8823529411764705E-2</v>
      </c>
      <c r="L10" s="5" t="s">
        <v>187</v>
      </c>
      <c r="M10" s="5" t="s">
        <v>347</v>
      </c>
      <c r="N10" s="50">
        <v>1.44017</v>
      </c>
      <c r="O10" t="str">
        <f t="shared" si="3"/>
        <v>RF4</v>
      </c>
      <c r="P10" s="22">
        <f t="shared" si="4"/>
        <v>2</v>
      </c>
      <c r="Q10" s="22">
        <f t="shared" si="5"/>
        <v>4</v>
      </c>
      <c r="R10" s="22">
        <f t="shared" si="6"/>
        <v>2</v>
      </c>
      <c r="S10" s="22">
        <f t="shared" si="7"/>
        <v>3</v>
      </c>
      <c r="T10" s="40" t="e">
        <f>IF(#REF!=4, RANK(H10,H$8:H$82,1)+COUNTIF($H$8:H10,H10)-1, IF(#REF!=3, RANK(G10,G$8:G$82,1)+COUNTIF($G$8:G10,G10)-1, IF(#REF!=2, RANK(F10,F$8:F$82,1)+COUNTIF($F$8:F10,F10)-1, IF(#REF!=1, RANK(E10,E$8:E$82,1)+COUNTIF($E$8:E10,E10)-1))))</f>
        <v>#REF!</v>
      </c>
      <c r="U10" s="28" t="e">
        <f>IF(#REF!=4, H10, IF(#REF!=3, G10, IF(#REF!=2, F10, IF(#REF!=1, E10))))</f>
        <v>#REF!</v>
      </c>
      <c r="V10">
        <f t="shared" si="1"/>
        <v>4</v>
      </c>
    </row>
    <row r="11" spans="1:22" x14ac:dyDescent="0.25">
      <c r="A11" t="s">
        <v>10</v>
      </c>
      <c r="B11" t="s">
        <v>11</v>
      </c>
      <c r="C11" s="5">
        <v>19</v>
      </c>
      <c r="D11" s="5">
        <v>11</v>
      </c>
      <c r="E11" s="49">
        <v>1</v>
      </c>
      <c r="F11" s="49">
        <v>1</v>
      </c>
      <c r="G11" s="49">
        <v>1</v>
      </c>
      <c r="H11" s="49">
        <v>0.9473684</v>
      </c>
      <c r="I11" s="51">
        <f t="shared" si="2"/>
        <v>8</v>
      </c>
      <c r="J11" s="49">
        <v>0.57894736842105265</v>
      </c>
      <c r="K11" s="49">
        <v>0.42105263157894735</v>
      </c>
      <c r="L11" s="5" t="s">
        <v>187</v>
      </c>
      <c r="M11" s="5" t="s">
        <v>338</v>
      </c>
      <c r="N11" s="50">
        <v>3.4294900000000004</v>
      </c>
      <c r="O11" t="str">
        <f t="shared" si="3"/>
        <v>R1H</v>
      </c>
      <c r="P11" s="22">
        <f t="shared" si="4"/>
        <v>4</v>
      </c>
      <c r="Q11" s="22">
        <f t="shared" si="5"/>
        <v>4</v>
      </c>
      <c r="R11" s="22">
        <f t="shared" si="6"/>
        <v>4</v>
      </c>
      <c r="S11" s="22">
        <f t="shared" si="7"/>
        <v>3</v>
      </c>
      <c r="T11" s="40" t="e">
        <f>IF(#REF!=4, RANK(H11,H$8:H$82,1)+COUNTIF($H$8:H11,H11)-1, IF(#REF!=3, RANK(G11,G$8:G$82,1)+COUNTIF($G$8:G11,G11)-1, IF(#REF!=2, RANK(F11,F$8:F$82,1)+COUNTIF($F$8:F11,F11)-1, IF(#REF!=1, RANK(E11,E$8:E$82,1)+COUNTIF($E$8:E11,E11)-1))))</f>
        <v>#REF!</v>
      </c>
      <c r="U11" s="28" t="e">
        <f>IF(#REF!=4, H11, IF(#REF!=3, G11, IF(#REF!=2, F11, IF(#REF!=1, E11))))</f>
        <v>#REF!</v>
      </c>
      <c r="V11">
        <f t="shared" si="1"/>
        <v>38</v>
      </c>
    </row>
    <row r="12" spans="1:22" x14ac:dyDescent="0.25">
      <c r="A12" s="5" t="s">
        <v>417</v>
      </c>
      <c r="B12" s="74" t="s">
        <v>418</v>
      </c>
      <c r="C12" s="5">
        <v>38</v>
      </c>
      <c r="D12" s="5">
        <v>35</v>
      </c>
      <c r="E12" s="49">
        <v>1</v>
      </c>
      <c r="F12" s="49">
        <v>0.9473684</v>
      </c>
      <c r="G12" s="49">
        <v>1</v>
      </c>
      <c r="H12" s="49">
        <v>0.9736842</v>
      </c>
      <c r="I12" s="51">
        <f t="shared" si="2"/>
        <v>3</v>
      </c>
      <c r="J12" s="49">
        <v>0.92105263157894735</v>
      </c>
      <c r="K12" s="49">
        <v>7.8947368421052627E-2</v>
      </c>
      <c r="L12" s="5" t="s">
        <v>189</v>
      </c>
      <c r="M12" s="5" t="s">
        <v>343</v>
      </c>
      <c r="N12" s="50">
        <v>2.5105200000000001</v>
      </c>
      <c r="O12" t="str">
        <f t="shared" si="3"/>
        <v>RC9</v>
      </c>
      <c r="P12" s="22">
        <f t="shared" si="4"/>
        <v>4</v>
      </c>
      <c r="Q12" s="22">
        <f t="shared" si="5"/>
        <v>1</v>
      </c>
      <c r="R12" s="22">
        <f t="shared" si="6"/>
        <v>4</v>
      </c>
      <c r="S12" s="22">
        <f t="shared" si="7"/>
        <v>4</v>
      </c>
      <c r="T12" s="40" t="e">
        <f>IF(#REF!=4, RANK(H12,H$8:H$82,1)+COUNTIF($H$8:H12,H12)-1, IF(#REF!=3, RANK(G12,G$8:G$82,1)+COUNTIF($G$8:G12,G12)-1, IF(#REF!=2, RANK(F12,F$8:F$82,1)+COUNTIF($F$8:F12,F12)-1, IF(#REF!=1, RANK(E12,E$8:E$82,1)+COUNTIF($E$8:E12,E12)-1))))</f>
        <v>#REF!</v>
      </c>
      <c r="U12" s="28" t="e">
        <f>IF(#REF!=4, H12, IF(#REF!=3, G12, IF(#REF!=2, F12, IF(#REF!=1, E12))))</f>
        <v>#REF!</v>
      </c>
      <c r="V12">
        <f t="shared" si="1"/>
        <v>5</v>
      </c>
    </row>
    <row r="13" spans="1:22" x14ac:dyDescent="0.25">
      <c r="A13" t="s">
        <v>137</v>
      </c>
      <c r="B13" t="s">
        <v>138</v>
      </c>
      <c r="C13" s="5">
        <v>75</v>
      </c>
      <c r="D13" s="5">
        <v>34</v>
      </c>
      <c r="E13" s="49">
        <v>0.97333340000000002</v>
      </c>
      <c r="F13" s="49">
        <v>0.98666670000000001</v>
      </c>
      <c r="G13" s="49">
        <v>0.97142859999999998</v>
      </c>
      <c r="H13" s="49">
        <v>0.93333330000000003</v>
      </c>
      <c r="I13" s="51">
        <f t="shared" si="2"/>
        <v>41</v>
      </c>
      <c r="J13" s="49">
        <v>0.45333333333333331</v>
      </c>
      <c r="K13" s="49">
        <v>0.54666666666666663</v>
      </c>
      <c r="L13" s="5" t="s">
        <v>175</v>
      </c>
      <c r="M13" s="5" t="s">
        <v>271</v>
      </c>
      <c r="N13" s="50">
        <v>0.35513</v>
      </c>
      <c r="O13" t="str">
        <f t="shared" si="3"/>
        <v>ZT001</v>
      </c>
      <c r="P13" s="22">
        <f t="shared" si="4"/>
        <v>3</v>
      </c>
      <c r="Q13" s="22">
        <f t="shared" si="5"/>
        <v>2</v>
      </c>
      <c r="R13" s="22">
        <f t="shared" si="6"/>
        <v>3</v>
      </c>
      <c r="S13" s="22">
        <f t="shared" si="7"/>
        <v>3</v>
      </c>
      <c r="T13" s="40" t="e">
        <f>IF(#REF!=4, RANK(H13,H$8:H$82,1)+COUNTIF($H$8:H13,H13)-1, IF(#REF!=3, RANK(G13,G$8:G$82,1)+COUNTIF($G$8:G13,G13)-1, IF(#REF!=2, RANK(F13,F$8:F$82,1)+COUNTIF($F$8:F13,F13)-1, IF(#REF!=1, RANK(E13,E$8:E$82,1)+COUNTIF($E$8:E13,E13)-1))))</f>
        <v>#REF!</v>
      </c>
      <c r="U13" s="28" t="e">
        <f>IF(#REF!=4, H13, IF(#REF!=3, G13, IF(#REF!=2, F13, IF(#REF!=1, E13))))</f>
        <v>#REF!</v>
      </c>
      <c r="V13">
        <f t="shared" si="1"/>
        <v>55</v>
      </c>
    </row>
    <row r="14" spans="1:22" x14ac:dyDescent="0.25">
      <c r="A14" t="s">
        <v>0</v>
      </c>
      <c r="B14" t="s">
        <v>1</v>
      </c>
      <c r="C14" s="5">
        <v>45</v>
      </c>
      <c r="D14" s="5">
        <v>24</v>
      </c>
      <c r="E14" s="49">
        <v>1</v>
      </c>
      <c r="F14" s="49">
        <v>1</v>
      </c>
      <c r="G14" s="49">
        <v>1</v>
      </c>
      <c r="H14" s="49">
        <v>0.84444450000000004</v>
      </c>
      <c r="I14" s="51">
        <f t="shared" si="2"/>
        <v>21</v>
      </c>
      <c r="J14" s="49">
        <v>0.53333333333333333</v>
      </c>
      <c r="K14" s="49">
        <v>0.46666666666666667</v>
      </c>
      <c r="L14" s="5" t="s">
        <v>172</v>
      </c>
      <c r="M14" s="5" t="s">
        <v>310</v>
      </c>
      <c r="N14" s="50">
        <v>3.9099500000000003</v>
      </c>
      <c r="O14" t="str">
        <f t="shared" si="3"/>
        <v>7A1</v>
      </c>
      <c r="P14" s="22">
        <f t="shared" si="4"/>
        <v>4</v>
      </c>
      <c r="Q14" s="22">
        <f t="shared" si="5"/>
        <v>4</v>
      </c>
      <c r="R14" s="22">
        <f t="shared" si="6"/>
        <v>4</v>
      </c>
      <c r="S14" s="22">
        <f t="shared" si="7"/>
        <v>2</v>
      </c>
      <c r="T14" s="40" t="e">
        <f>IF(#REF!=4, RANK(H14,H$8:H$82,1)+COUNTIF($H$8:H14,H14)-1, IF(#REF!=3, RANK(G14,G$8:G$82,1)+COUNTIF($G$8:G14,G14)-1, IF(#REF!=2, RANK(F14,F$8:F$82,1)+COUNTIF($F$8:F14,F14)-1, IF(#REF!=1, RANK(E14,E$8:E$82,1)+COUNTIF($E$8:E14,E14)-1))))</f>
        <v>#REF!</v>
      </c>
      <c r="U14" s="28" t="e">
        <f>IF(#REF!=4, H14, IF(#REF!=3, G14, IF(#REF!=2, F14, IF(#REF!=1, E14))))</f>
        <v>#REF!</v>
      </c>
      <c r="V14">
        <f t="shared" si="1"/>
        <v>46</v>
      </c>
    </row>
    <row r="15" spans="1:22" x14ac:dyDescent="0.25">
      <c r="A15" t="s">
        <v>15</v>
      </c>
      <c r="B15" t="s">
        <v>16</v>
      </c>
      <c r="C15" s="5" t="s">
        <v>226</v>
      </c>
      <c r="D15" s="5">
        <v>0</v>
      </c>
      <c r="E15" s="49">
        <v>1</v>
      </c>
      <c r="F15" s="49">
        <v>0.75</v>
      </c>
      <c r="G15" s="49">
        <v>1</v>
      </c>
      <c r="H15" s="49">
        <v>1</v>
      </c>
      <c r="I15" s="51" t="e">
        <f t="shared" si="2"/>
        <v>#VALUE!</v>
      </c>
      <c r="J15" s="49">
        <v>0</v>
      </c>
      <c r="K15" s="49">
        <v>1</v>
      </c>
      <c r="L15" s="5" t="s">
        <v>220</v>
      </c>
      <c r="M15" s="5" t="s">
        <v>227</v>
      </c>
      <c r="N15" s="50">
        <v>0</v>
      </c>
      <c r="O15" t="str">
        <f t="shared" si="3"/>
        <v>RAE</v>
      </c>
      <c r="P15" s="22">
        <f t="shared" si="4"/>
        <v>4</v>
      </c>
      <c r="Q15" s="22">
        <f t="shared" si="5"/>
        <v>1</v>
      </c>
      <c r="R15" s="22">
        <f t="shared" si="6"/>
        <v>4</v>
      </c>
      <c r="S15" s="22">
        <f t="shared" si="7"/>
        <v>4</v>
      </c>
      <c r="T15" s="40" t="e">
        <f>IF(#REF!=4, RANK(H15,H$8:H$82,1)+COUNTIF($H$8:H15,H15)-1, IF(#REF!=3, RANK(G15,G$8:G$82,1)+COUNTIF($G$8:G15,G15)-1, IF(#REF!=2, RANK(F15,F$8:F$82,1)+COUNTIF($F$8:F15,F15)-1, IF(#REF!=1, RANK(E15,E$8:E$82,1)+COUNTIF($E$8:E15,E15)-1))))</f>
        <v>#REF!</v>
      </c>
      <c r="U15" s="28" t="e">
        <f>IF(#REF!=4, H15, IF(#REF!=3, G15, IF(#REF!=2, F15, IF(#REF!=1, E15))))</f>
        <v>#REF!</v>
      </c>
      <c r="V15">
        <f t="shared" si="1"/>
        <v>68</v>
      </c>
    </row>
    <row r="16" spans="1:22" x14ac:dyDescent="0.25">
      <c r="A16" t="s">
        <v>35</v>
      </c>
      <c r="B16" t="s">
        <v>36</v>
      </c>
      <c r="C16" s="5">
        <v>59</v>
      </c>
      <c r="D16" s="5">
        <v>28</v>
      </c>
      <c r="E16" s="49">
        <v>0.79661020000000005</v>
      </c>
      <c r="F16" s="49">
        <v>0.9830508</v>
      </c>
      <c r="G16" s="49">
        <v>0.83673470000000005</v>
      </c>
      <c r="H16" s="49">
        <v>0.86440680000000003</v>
      </c>
      <c r="I16" s="51">
        <f t="shared" si="2"/>
        <v>31</v>
      </c>
      <c r="J16" s="49">
        <v>0.47457627118644069</v>
      </c>
      <c r="K16" s="49">
        <v>0.52542372881355937</v>
      </c>
      <c r="L16" s="5" t="s">
        <v>187</v>
      </c>
      <c r="M16" s="5" t="s">
        <v>204</v>
      </c>
      <c r="N16" s="50">
        <v>0.38488</v>
      </c>
      <c r="O16" t="str">
        <f t="shared" si="3"/>
        <v>RGT</v>
      </c>
      <c r="P16" s="22">
        <f t="shared" si="4"/>
        <v>1</v>
      </c>
      <c r="Q16" s="22">
        <f t="shared" si="5"/>
        <v>2</v>
      </c>
      <c r="R16" s="22">
        <f t="shared" si="6"/>
        <v>1</v>
      </c>
      <c r="S16" s="22">
        <f t="shared" si="7"/>
        <v>2</v>
      </c>
      <c r="T16" s="40" t="e">
        <f>IF(#REF!=4, RANK(H16,H$8:H$82,1)+COUNTIF($H$8:H16,H16)-1, IF(#REF!=3, RANK(G16,G$8:G$82,1)+COUNTIF($G$8:G16,G16)-1, IF(#REF!=2, RANK(F16,F$8:F$82,1)+COUNTIF($F$8:F16,F16)-1, IF(#REF!=1, RANK(E16,E$8:E$82,1)+COUNTIF($E$8:E16,E16)-1))))</f>
        <v>#REF!</v>
      </c>
      <c r="U16" s="28" t="e">
        <f>IF(#REF!=4, H16, IF(#REF!=3, G16, IF(#REF!=2, F16, IF(#REF!=1, E16))))</f>
        <v>#REF!</v>
      </c>
      <c r="V16">
        <f t="shared" si="1"/>
        <v>52</v>
      </c>
    </row>
    <row r="17" spans="1:22" x14ac:dyDescent="0.25">
      <c r="A17" t="s">
        <v>3</v>
      </c>
      <c r="B17" t="s">
        <v>4</v>
      </c>
      <c r="C17" s="5">
        <v>15</v>
      </c>
      <c r="D17" s="5">
        <v>12</v>
      </c>
      <c r="E17" s="49">
        <v>0.93333330000000003</v>
      </c>
      <c r="F17" s="49">
        <v>0.93333330000000003</v>
      </c>
      <c r="G17" s="49">
        <v>0.91666669999999995</v>
      </c>
      <c r="H17" s="49">
        <v>0.93333330000000003</v>
      </c>
      <c r="I17" s="51">
        <f t="shared" si="2"/>
        <v>3</v>
      </c>
      <c r="J17" s="49">
        <v>0.8</v>
      </c>
      <c r="K17" s="49">
        <v>0.2</v>
      </c>
      <c r="L17" s="5" t="s">
        <v>162</v>
      </c>
      <c r="M17" s="5" t="s">
        <v>314</v>
      </c>
      <c r="N17" s="50">
        <v>4.2947699999999998</v>
      </c>
      <c r="O17" t="str">
        <f t="shared" si="3"/>
        <v>7A4</v>
      </c>
      <c r="P17" s="22">
        <f t="shared" si="4"/>
        <v>2</v>
      </c>
      <c r="Q17" s="22">
        <f t="shared" si="5"/>
        <v>1</v>
      </c>
      <c r="R17" s="22">
        <f t="shared" si="6"/>
        <v>2</v>
      </c>
      <c r="S17" s="22">
        <f t="shared" si="7"/>
        <v>3</v>
      </c>
      <c r="T17" s="40" t="e">
        <f>IF(#REF!=4, RANK(H17,H$8:H$82,1)+COUNTIF($H$8:H17,H17)-1, IF(#REF!=3, RANK(G17,G$8:G$82,1)+COUNTIF($G$8:G17,G17)-1, IF(#REF!=2, RANK(F17,F$8:F$82,1)+COUNTIF($F$8:F17,F17)-1, IF(#REF!=1, RANK(E17,E$8:E$82,1)+COUNTIF($E$8:E17,E17)-1))))</f>
        <v>#REF!</v>
      </c>
      <c r="U17" s="28" t="e">
        <f>IF(#REF!=4, H17, IF(#REF!=3, G17, IF(#REF!=2, F17, IF(#REF!=1, E17))))</f>
        <v>#REF!</v>
      </c>
      <c r="V17">
        <f t="shared" si="1"/>
        <v>9</v>
      </c>
    </row>
    <row r="18" spans="1:22" x14ac:dyDescent="0.25">
      <c r="A18" t="s">
        <v>51</v>
      </c>
      <c r="B18" t="s">
        <v>52</v>
      </c>
      <c r="C18" s="5">
        <v>49</v>
      </c>
      <c r="D18" s="5">
        <v>38</v>
      </c>
      <c r="E18" s="49">
        <v>0.89795919999999996</v>
      </c>
      <c r="F18" s="49">
        <v>0.97959180000000001</v>
      </c>
      <c r="G18" s="49">
        <v>0.91489359999999997</v>
      </c>
      <c r="H18" s="49">
        <v>0.77551020000000004</v>
      </c>
      <c r="I18" s="51">
        <f t="shared" si="2"/>
        <v>11</v>
      </c>
      <c r="J18" s="49">
        <v>0.77551020408163263</v>
      </c>
      <c r="K18" s="49">
        <v>0.22448979591836735</v>
      </c>
      <c r="L18" s="5" t="s">
        <v>189</v>
      </c>
      <c r="M18" s="5" t="s">
        <v>223</v>
      </c>
      <c r="N18" s="50">
        <v>1.9244399999999999</v>
      </c>
      <c r="O18" t="str">
        <f t="shared" si="3"/>
        <v>RJR</v>
      </c>
      <c r="P18" s="22">
        <f t="shared" si="4"/>
        <v>2</v>
      </c>
      <c r="Q18" s="22">
        <f t="shared" si="5"/>
        <v>2</v>
      </c>
      <c r="R18" s="22">
        <f t="shared" si="6"/>
        <v>2</v>
      </c>
      <c r="S18" s="22">
        <f t="shared" si="7"/>
        <v>1</v>
      </c>
      <c r="T18" s="40" t="e">
        <f>IF(#REF!=4, RANK(H18,H$8:H$82,1)+COUNTIF($H$8:H18,H18)-1, IF(#REF!=3, RANK(G18,G$8:G$82,1)+COUNTIF($G$8:G18,G18)-1, IF(#REF!=2, RANK(F18,F$8:F$82,1)+COUNTIF($F$8:F18,F18)-1, IF(#REF!=1, RANK(E18,E$8:E$82,1)+COUNTIF($E$8:E18,E18)-1))))</f>
        <v>#REF!</v>
      </c>
      <c r="U18" s="28" t="e">
        <f>IF(#REF!=4, H18, IF(#REF!=3, G18, IF(#REF!=2, F18, IF(#REF!=1, E18))))</f>
        <v>#REF!</v>
      </c>
      <c r="V18">
        <f t="shared" si="1"/>
        <v>16</v>
      </c>
    </row>
    <row r="19" spans="1:22" x14ac:dyDescent="0.25">
      <c r="A19" t="s">
        <v>68</v>
      </c>
      <c r="B19" t="s">
        <v>293</v>
      </c>
      <c r="C19" s="5">
        <v>20</v>
      </c>
      <c r="D19" s="5">
        <v>10</v>
      </c>
      <c r="E19" s="49">
        <v>0.65</v>
      </c>
      <c r="F19" s="49">
        <v>0.9</v>
      </c>
      <c r="G19" s="49">
        <v>0.68421050000000005</v>
      </c>
      <c r="H19" s="49">
        <v>0.65</v>
      </c>
      <c r="I19" s="51">
        <f t="shared" si="2"/>
        <v>10</v>
      </c>
      <c r="J19" s="49">
        <v>0.5</v>
      </c>
      <c r="K19" s="49">
        <v>0.5</v>
      </c>
      <c r="L19" s="5" t="s">
        <v>274</v>
      </c>
      <c r="M19" s="5" t="s">
        <v>311</v>
      </c>
      <c r="N19" s="50">
        <v>0</v>
      </c>
      <c r="O19" t="str">
        <f t="shared" si="3"/>
        <v>RP5</v>
      </c>
      <c r="P19" s="22">
        <f t="shared" si="4"/>
        <v>1</v>
      </c>
      <c r="Q19" s="22">
        <f t="shared" si="5"/>
        <v>1</v>
      </c>
      <c r="R19" s="22">
        <f t="shared" si="6"/>
        <v>1</v>
      </c>
      <c r="S19" s="22">
        <f t="shared" si="7"/>
        <v>1</v>
      </c>
      <c r="T19" s="40" t="e">
        <f>IF(#REF!=4, RANK(H19,H$8:H$82,1)+COUNTIF($H$8:H19,H19)-1, IF(#REF!=3, RANK(G19,G$8:G$82,1)+COUNTIF($G$8:G19,G19)-1, IF(#REF!=2, RANK(F19,F$8:F$82,1)+COUNTIF($F$8:F19,F19)-1, IF(#REF!=1, RANK(E19,E$8:E$82,1)+COUNTIF($E$8:E19,E19)-1))))</f>
        <v>#REF!</v>
      </c>
      <c r="U19" s="28" t="e">
        <f>IF(#REF!=4, H19, IF(#REF!=3, G19, IF(#REF!=2, F19, IF(#REF!=1, E19))))</f>
        <v>#REF!</v>
      </c>
      <c r="V19">
        <f t="shared" si="1"/>
        <v>48</v>
      </c>
    </row>
    <row r="20" spans="1:22" x14ac:dyDescent="0.25">
      <c r="A20" t="s">
        <v>103</v>
      </c>
      <c r="B20" t="s">
        <v>104</v>
      </c>
      <c r="C20" s="5">
        <v>15</v>
      </c>
      <c r="D20" s="5">
        <v>8</v>
      </c>
      <c r="E20" s="49">
        <v>0.8</v>
      </c>
      <c r="F20" s="49">
        <v>1</v>
      </c>
      <c r="G20" s="49">
        <v>0.8</v>
      </c>
      <c r="H20" s="49">
        <v>0.73333329999999997</v>
      </c>
      <c r="I20" s="51">
        <f t="shared" si="2"/>
        <v>7</v>
      </c>
      <c r="J20" s="49">
        <v>0.53333333333333333</v>
      </c>
      <c r="K20" s="49">
        <v>0.46666666666666667</v>
      </c>
      <c r="L20" s="5" t="s">
        <v>202</v>
      </c>
      <c r="M20" s="5" t="s">
        <v>358</v>
      </c>
      <c r="N20" s="50">
        <v>0</v>
      </c>
      <c r="O20" t="str">
        <f t="shared" si="3"/>
        <v>RWH</v>
      </c>
      <c r="P20" s="22">
        <f t="shared" si="4"/>
        <v>1</v>
      </c>
      <c r="Q20" s="22">
        <f t="shared" si="5"/>
        <v>4</v>
      </c>
      <c r="R20" s="22">
        <f t="shared" si="6"/>
        <v>1</v>
      </c>
      <c r="S20" s="22">
        <f t="shared" si="7"/>
        <v>1</v>
      </c>
      <c r="T20" s="40" t="e">
        <f>IF(#REF!=4, RANK(H20,H$8:H$82,1)+COUNTIF($H$8:H20,H20)-1, IF(#REF!=3, RANK(G20,G$8:G$82,1)+COUNTIF($G$8:G20,G20)-1, IF(#REF!=2, RANK(F20,F$8:F$82,1)+COUNTIF($F$8:F20,F20)-1, IF(#REF!=1, RANK(E20,E$8:E$82,1)+COUNTIF($E$8:E20,E20)-1))))</f>
        <v>#REF!</v>
      </c>
      <c r="U20" s="28" t="e">
        <f>IF(#REF!=4, H20, IF(#REF!=3, G20, IF(#REF!=2, F20, IF(#REF!=1, E20))))</f>
        <v>#REF!</v>
      </c>
      <c r="V20">
        <f t="shared" si="1"/>
        <v>46</v>
      </c>
    </row>
    <row r="21" spans="1:22" x14ac:dyDescent="0.25">
      <c r="A21" t="s">
        <v>94</v>
      </c>
      <c r="B21" t="s">
        <v>95</v>
      </c>
      <c r="C21" s="5">
        <v>27</v>
      </c>
      <c r="D21" s="5">
        <v>21</v>
      </c>
      <c r="E21" s="49">
        <v>0.96296300000000001</v>
      </c>
      <c r="F21" s="49">
        <v>0.88888889999999998</v>
      </c>
      <c r="G21" s="49">
        <v>0.96</v>
      </c>
      <c r="H21" s="49">
        <v>0.88888889999999998</v>
      </c>
      <c r="I21" s="51">
        <f t="shared" si="2"/>
        <v>6</v>
      </c>
      <c r="J21" s="49">
        <v>0.77777777777777779</v>
      </c>
      <c r="K21" s="49">
        <v>0.22222222222222221</v>
      </c>
      <c r="L21" s="5" t="s">
        <v>183</v>
      </c>
      <c r="M21" s="5" t="s">
        <v>356</v>
      </c>
      <c r="N21" s="50">
        <v>0.72311000000000003</v>
      </c>
      <c r="O21" t="str">
        <f t="shared" si="3"/>
        <v>RVV</v>
      </c>
      <c r="P21" s="22">
        <f t="shared" si="4"/>
        <v>3</v>
      </c>
      <c r="Q21" s="22">
        <f t="shared" si="5"/>
        <v>1</v>
      </c>
      <c r="R21" s="22">
        <f t="shared" si="6"/>
        <v>2</v>
      </c>
      <c r="S21" s="22">
        <f t="shared" si="7"/>
        <v>2</v>
      </c>
      <c r="T21" s="40" t="e">
        <f>IF(#REF!=4, RANK(H21,H$8:H$82,1)+COUNTIF($H$8:H21,H21)-1, IF(#REF!=3, RANK(G21,G$8:G$82,1)+COUNTIF($G$8:G21,G21)-1, IF(#REF!=2, RANK(F21,F$8:F$82,1)+COUNTIF($F$8:F21,F21)-1, IF(#REF!=1, RANK(E21,E$8:E$82,1)+COUNTIF($E$8:E21,E21)-1))))</f>
        <v>#REF!</v>
      </c>
      <c r="U21" s="28" t="e">
        <f>IF(#REF!=4, H21, IF(#REF!=3, G21, IF(#REF!=2, F21, IF(#REF!=1, E21))))</f>
        <v>#REF!</v>
      </c>
      <c r="V21">
        <f t="shared" si="1"/>
        <v>14</v>
      </c>
    </row>
    <row r="22" spans="1:22" x14ac:dyDescent="0.25">
      <c r="A22" t="s">
        <v>115</v>
      </c>
      <c r="B22" t="s">
        <v>116</v>
      </c>
      <c r="C22" s="5">
        <v>24</v>
      </c>
      <c r="D22" s="5">
        <v>15</v>
      </c>
      <c r="E22" s="49">
        <v>1</v>
      </c>
      <c r="F22" s="49">
        <v>1</v>
      </c>
      <c r="G22" s="49">
        <v>1</v>
      </c>
      <c r="H22" s="49">
        <v>0.95833330000000005</v>
      </c>
      <c r="I22" s="51">
        <f t="shared" si="2"/>
        <v>9</v>
      </c>
      <c r="J22" s="49">
        <v>0.625</v>
      </c>
      <c r="K22" s="49">
        <v>0.375</v>
      </c>
      <c r="L22" s="5" t="s">
        <v>202</v>
      </c>
      <c r="M22" s="5" t="s">
        <v>209</v>
      </c>
      <c r="N22" s="50">
        <v>0</v>
      </c>
      <c r="O22" t="str">
        <f t="shared" si="3"/>
        <v>RXR</v>
      </c>
      <c r="P22" s="22">
        <f t="shared" si="4"/>
        <v>4</v>
      </c>
      <c r="Q22" s="22">
        <f t="shared" si="5"/>
        <v>4</v>
      </c>
      <c r="R22" s="22">
        <f t="shared" si="6"/>
        <v>4</v>
      </c>
      <c r="S22" s="22">
        <f t="shared" si="7"/>
        <v>3</v>
      </c>
      <c r="T22" s="40" t="e">
        <f>IF(#REF!=4, RANK(H22,H$8:H$82,1)+COUNTIF($H$8:H22,H22)-1, IF(#REF!=3, RANK(G22,G$8:G$82,1)+COUNTIF($G$8:G22,G22)-1, IF(#REF!=2, RANK(F22,F$8:F$82,1)+COUNTIF($F$8:F22,F22)-1, IF(#REF!=1, RANK(E22,E$8:E$82,1)+COUNTIF($E$8:E22,E22)-1))))</f>
        <v>#REF!</v>
      </c>
      <c r="U22" s="28" t="e">
        <f>IF(#REF!=4, H22, IF(#REF!=3, G22, IF(#REF!=2, F22, IF(#REF!=1, E22))))</f>
        <v>#REF!</v>
      </c>
      <c r="V22">
        <f t="shared" si="1"/>
        <v>29</v>
      </c>
    </row>
    <row r="23" spans="1:22" x14ac:dyDescent="0.25">
      <c r="A23" t="s">
        <v>24</v>
      </c>
      <c r="B23" t="s">
        <v>160</v>
      </c>
      <c r="C23" s="5">
        <v>55</v>
      </c>
      <c r="D23" s="5">
        <v>44</v>
      </c>
      <c r="E23" s="49">
        <v>0.94545449999999998</v>
      </c>
      <c r="F23" s="49">
        <v>0.98181819999999997</v>
      </c>
      <c r="G23" s="49">
        <v>0.94339620000000002</v>
      </c>
      <c r="H23" s="49">
        <v>0.94545449999999998</v>
      </c>
      <c r="I23" s="51">
        <f t="shared" si="2"/>
        <v>11</v>
      </c>
      <c r="J23" s="49">
        <v>0.8</v>
      </c>
      <c r="K23" s="49">
        <v>0.2</v>
      </c>
      <c r="L23" s="5" t="s">
        <v>193</v>
      </c>
      <c r="M23" s="5" t="s">
        <v>312</v>
      </c>
      <c r="N23" s="50">
        <v>2.2672500000000002</v>
      </c>
      <c r="O23" t="str">
        <f t="shared" si="3"/>
        <v>RDE</v>
      </c>
      <c r="P23" s="22">
        <f t="shared" si="4"/>
        <v>2</v>
      </c>
      <c r="Q23" s="22">
        <f t="shared" si="5"/>
        <v>2</v>
      </c>
      <c r="R23" s="22">
        <f t="shared" si="6"/>
        <v>2</v>
      </c>
      <c r="S23" s="22">
        <f t="shared" si="7"/>
        <v>3</v>
      </c>
      <c r="T23" s="40" t="e">
        <f>IF(#REF!=4, RANK(H23,H$8:H$82,1)+COUNTIF($H$8:H23,H23)-1, IF(#REF!=3, RANK(G23,G$8:G$82,1)+COUNTIF($G$8:G23,G23)-1, IF(#REF!=2, RANK(F23,F$8:F$82,1)+COUNTIF($F$8:F23,F23)-1, IF(#REF!=1, RANK(E23,E$8:E$82,1)+COUNTIF($E$8:E23,E23)-1))))</f>
        <v>#REF!</v>
      </c>
      <c r="U23" s="28" t="e">
        <f>IF(#REF!=4, H23, IF(#REF!=3, G23, IF(#REF!=2, F23, IF(#REF!=1, E23))))</f>
        <v>#REF!</v>
      </c>
      <c r="V23">
        <f t="shared" si="1"/>
        <v>9</v>
      </c>
    </row>
    <row r="24" spans="1:22" x14ac:dyDescent="0.25">
      <c r="A24" t="s">
        <v>25</v>
      </c>
      <c r="B24" t="s">
        <v>26</v>
      </c>
      <c r="C24" s="5">
        <v>45</v>
      </c>
      <c r="D24" s="5">
        <v>36</v>
      </c>
      <c r="E24" s="49">
        <v>1</v>
      </c>
      <c r="F24" s="49">
        <v>1</v>
      </c>
      <c r="G24" s="49">
        <v>1</v>
      </c>
      <c r="H24" s="49">
        <v>1</v>
      </c>
      <c r="I24" s="51">
        <f t="shared" si="2"/>
        <v>9</v>
      </c>
      <c r="J24" s="49">
        <v>0.8</v>
      </c>
      <c r="K24" s="49">
        <v>0.2</v>
      </c>
      <c r="L24" s="5" t="s">
        <v>185</v>
      </c>
      <c r="M24" s="5" t="s">
        <v>307</v>
      </c>
      <c r="N24" s="50">
        <v>0.73134999999999994</v>
      </c>
      <c r="O24" t="str">
        <f t="shared" si="3"/>
        <v>RDU</v>
      </c>
      <c r="P24" s="22">
        <f t="shared" si="4"/>
        <v>4</v>
      </c>
      <c r="Q24" s="22">
        <f t="shared" si="5"/>
        <v>4</v>
      </c>
      <c r="R24" s="22">
        <f t="shared" si="6"/>
        <v>4</v>
      </c>
      <c r="S24" s="22">
        <f t="shared" si="7"/>
        <v>4</v>
      </c>
      <c r="T24" s="40" t="e">
        <f>IF(#REF!=4, RANK(H24,H$8:H$82,1)+COUNTIF($H$8:H24,H24)-1, IF(#REF!=3, RANK(G24,G$8:G$82,1)+COUNTIF($G$8:G24,G24)-1, IF(#REF!=2, RANK(F24,F$8:F$82,1)+COUNTIF($F$8:F24,F24)-1, IF(#REF!=1, RANK(E24,E$8:E$82,1)+COUNTIF($E$8:E24,E24)-1))))</f>
        <v>#REF!</v>
      </c>
      <c r="U24" s="28" t="e">
        <f>IF(#REF!=4, H24, IF(#REF!=3, G24, IF(#REF!=2, F24, IF(#REF!=1, E24))))</f>
        <v>#REF!</v>
      </c>
      <c r="V24">
        <f t="shared" si="1"/>
        <v>9</v>
      </c>
    </row>
    <row r="25" spans="1:22" x14ac:dyDescent="0.25">
      <c r="A25" t="s">
        <v>85</v>
      </c>
      <c r="B25" t="s">
        <v>86</v>
      </c>
      <c r="C25" s="5">
        <v>51</v>
      </c>
      <c r="D25" s="5">
        <v>24</v>
      </c>
      <c r="E25" s="49">
        <v>0.92156859999999996</v>
      </c>
      <c r="F25" s="49">
        <v>1</v>
      </c>
      <c r="G25" s="49">
        <v>0.97777780000000003</v>
      </c>
      <c r="H25" s="49">
        <v>0.80392160000000001</v>
      </c>
      <c r="I25" s="51">
        <f t="shared" si="2"/>
        <v>27</v>
      </c>
      <c r="J25" s="49">
        <v>0.47058823529411764</v>
      </c>
      <c r="K25" s="49">
        <v>0.52941176470588236</v>
      </c>
      <c r="L25" s="5" t="s">
        <v>187</v>
      </c>
      <c r="M25" s="5" t="s">
        <v>191</v>
      </c>
      <c r="N25" s="50">
        <v>0.64961000000000002</v>
      </c>
      <c r="O25" t="str">
        <f t="shared" si="3"/>
        <v>RTE</v>
      </c>
      <c r="P25" s="22">
        <f t="shared" si="4"/>
        <v>2</v>
      </c>
      <c r="Q25" s="22">
        <f t="shared" si="5"/>
        <v>4</v>
      </c>
      <c r="R25" s="22">
        <f t="shared" si="6"/>
        <v>3</v>
      </c>
      <c r="S25" s="22">
        <f t="shared" si="7"/>
        <v>2</v>
      </c>
      <c r="T25" s="40" t="e">
        <f>IF(#REF!=4, RANK(H25,H$8:H$82,1)+COUNTIF($H$8:H25,H25)-1, IF(#REF!=3, RANK(G25,G$8:G$82,1)+COUNTIF($G$8:G25,G25)-1, IF(#REF!=2, RANK(F25,F$8:F$82,1)+COUNTIF($F$8:F25,F25)-1, IF(#REF!=1, RANK(E25,E$8:E$82,1)+COUNTIF($E$8:E25,E25)-1))))</f>
        <v>#REF!</v>
      </c>
      <c r="U25" s="28" t="e">
        <f>IF(#REF!=4, H25, IF(#REF!=3, G25, IF(#REF!=2, F25, IF(#REF!=1, E25))))</f>
        <v>#REF!</v>
      </c>
      <c r="V25">
        <f t="shared" si="1"/>
        <v>53</v>
      </c>
    </row>
    <row r="26" spans="1:22" x14ac:dyDescent="0.25">
      <c r="A26" t="s">
        <v>45</v>
      </c>
      <c r="B26" t="s">
        <v>46</v>
      </c>
      <c r="C26" s="5">
        <v>62</v>
      </c>
      <c r="D26" s="5">
        <v>47</v>
      </c>
      <c r="E26" s="49">
        <v>0.59677420000000003</v>
      </c>
      <c r="F26" s="49">
        <v>0.96774190000000004</v>
      </c>
      <c r="G26" s="49">
        <v>0.6181818</v>
      </c>
      <c r="H26" s="49">
        <v>0.1129032</v>
      </c>
      <c r="I26" s="51">
        <f t="shared" si="2"/>
        <v>15</v>
      </c>
      <c r="J26" s="49">
        <v>0.75806451612903225</v>
      </c>
      <c r="K26" s="49">
        <v>0.24193548387096775</v>
      </c>
      <c r="L26" s="5" t="s">
        <v>200</v>
      </c>
      <c r="M26" s="5" t="s">
        <v>350</v>
      </c>
      <c r="N26" s="50">
        <v>0.37129000000000001</v>
      </c>
      <c r="O26" t="str">
        <f t="shared" si="3"/>
        <v>RJ1</v>
      </c>
      <c r="P26" s="22">
        <f t="shared" si="4"/>
        <v>1</v>
      </c>
      <c r="Q26" s="22">
        <f t="shared" si="5"/>
        <v>2</v>
      </c>
      <c r="R26" s="22">
        <f t="shared" si="6"/>
        <v>1</v>
      </c>
      <c r="S26" s="22">
        <f t="shared" si="7"/>
        <v>1</v>
      </c>
      <c r="T26" s="40" t="e">
        <f>IF(#REF!=4, RANK(H26,H$8:H$82,1)+COUNTIF($H$8:H26,H26)-1, IF(#REF!=3, RANK(G26,G$8:G$82,1)+COUNTIF($G$8:G26,G26)-1, IF(#REF!=2, RANK(F26,F$8:F$82,1)+COUNTIF($F$8:F26,F26)-1, IF(#REF!=1, RANK(E26,E$8:E$82,1)+COUNTIF($E$8:E26,E26)-1))))</f>
        <v>#REF!</v>
      </c>
      <c r="U26" s="28" t="e">
        <f>IF(#REF!=4, H26, IF(#REF!=3, G26, IF(#REF!=2, F26, IF(#REF!=1, E26))))</f>
        <v>#REF!</v>
      </c>
      <c r="V26">
        <f t="shared" si="1"/>
        <v>17</v>
      </c>
    </row>
    <row r="27" spans="1:22" x14ac:dyDescent="0.25">
      <c r="A27" t="s">
        <v>96</v>
      </c>
      <c r="B27" t="s">
        <v>294</v>
      </c>
      <c r="C27" s="5">
        <v>23</v>
      </c>
      <c r="D27" s="5">
        <v>13</v>
      </c>
      <c r="E27" s="49">
        <v>1</v>
      </c>
      <c r="F27" s="49">
        <v>0</v>
      </c>
      <c r="G27" s="49">
        <v>1</v>
      </c>
      <c r="H27" s="49">
        <v>1</v>
      </c>
      <c r="I27" s="51">
        <f t="shared" si="2"/>
        <v>10</v>
      </c>
      <c r="J27" s="49">
        <v>0.56521739130434778</v>
      </c>
      <c r="K27" s="49">
        <v>0.43478260869565216</v>
      </c>
      <c r="L27" s="5" t="s">
        <v>188</v>
      </c>
      <c r="M27" s="5" t="s">
        <v>277</v>
      </c>
      <c r="N27" s="50">
        <v>0.89329000000000003</v>
      </c>
      <c r="O27" t="str">
        <f t="shared" si="3"/>
        <v>RWA</v>
      </c>
      <c r="P27" s="22">
        <f t="shared" si="4"/>
        <v>4</v>
      </c>
      <c r="Q27" s="22">
        <f t="shared" si="5"/>
        <v>1</v>
      </c>
      <c r="R27" s="22">
        <f t="shared" si="6"/>
        <v>4</v>
      </c>
      <c r="S27" s="22">
        <f t="shared" si="7"/>
        <v>4</v>
      </c>
      <c r="T27" s="40" t="e">
        <f>IF(#REF!=4, RANK(H27,H$8:H$82,1)+COUNTIF($H$8:H27,H27)-1, IF(#REF!=3, RANK(G27,G$8:G$82,1)+COUNTIF($G$8:G27,G27)-1, IF(#REF!=2, RANK(F27,F$8:F$82,1)+COUNTIF($F$8:F27,F27)-1, IF(#REF!=1, RANK(E27,E$8:E$82,1)+COUNTIF($E$8:E27,E27)-1))))</f>
        <v>#REF!</v>
      </c>
      <c r="U27" s="28" t="e">
        <f>IF(#REF!=4, H27, IF(#REF!=3, G27, IF(#REF!=2, F27, IF(#REF!=1, E27))))</f>
        <v>#REF!</v>
      </c>
      <c r="V27">
        <f t="shared" si="1"/>
        <v>39</v>
      </c>
    </row>
    <row r="28" spans="1:22" x14ac:dyDescent="0.25">
      <c r="A28" t="s">
        <v>119</v>
      </c>
      <c r="B28" t="s">
        <v>120</v>
      </c>
      <c r="C28" s="5">
        <v>27</v>
      </c>
      <c r="D28" s="5">
        <v>22</v>
      </c>
      <c r="E28" s="49">
        <v>0.48148150000000001</v>
      </c>
      <c r="F28" s="49">
        <v>1</v>
      </c>
      <c r="G28" s="49">
        <v>0.42857139999999999</v>
      </c>
      <c r="H28" s="49">
        <v>0.44444440000000002</v>
      </c>
      <c r="I28" s="51">
        <f t="shared" si="2"/>
        <v>5</v>
      </c>
      <c r="J28" s="49">
        <v>0.81481481481481477</v>
      </c>
      <c r="K28" s="49">
        <v>0.18518518518518517</v>
      </c>
      <c r="L28" s="5" t="s">
        <v>183</v>
      </c>
      <c r="M28" s="5" t="s">
        <v>359</v>
      </c>
      <c r="N28" s="50">
        <v>0</v>
      </c>
      <c r="O28" t="str">
        <f t="shared" si="3"/>
        <v>RYJ</v>
      </c>
      <c r="P28" s="22">
        <f t="shared" si="4"/>
        <v>1</v>
      </c>
      <c r="Q28" s="22">
        <f t="shared" si="5"/>
        <v>4</v>
      </c>
      <c r="R28" s="22">
        <f t="shared" si="6"/>
        <v>1</v>
      </c>
      <c r="S28" s="22">
        <f t="shared" si="7"/>
        <v>1</v>
      </c>
      <c r="T28" s="40" t="e">
        <f>IF(#REF!=4, RANK(H28,H$8:H$82,1)+COUNTIF($H$8:H28,H28)-1, IF(#REF!=3, RANK(G28,G$8:G$82,1)+COUNTIF($G$8:G28,G28)-1, IF(#REF!=2, RANK(F28,F$8:F$82,1)+COUNTIF($F$8:F28,F28)-1, IF(#REF!=1, RANK(E28,E$8:E$82,1)+COUNTIF($E$8:E28,E28)-1))))</f>
        <v>#REF!</v>
      </c>
      <c r="U28" s="28" t="e">
        <f>IF(#REF!=4, H28, IF(#REF!=3, G28, IF(#REF!=2, F28, IF(#REF!=1, E28))))</f>
        <v>#REF!</v>
      </c>
      <c r="V28">
        <f t="shared" si="1"/>
        <v>8</v>
      </c>
    </row>
    <row r="29" spans="1:22" x14ac:dyDescent="0.25">
      <c r="A29" t="s">
        <v>53</v>
      </c>
      <c r="B29" t="s">
        <v>54</v>
      </c>
      <c r="C29" s="5">
        <v>0</v>
      </c>
      <c r="D29" s="5">
        <v>0</v>
      </c>
      <c r="E29" s="49" t="s">
        <v>220</v>
      </c>
      <c r="F29" s="49" t="s">
        <v>220</v>
      </c>
      <c r="G29" s="49" t="s">
        <v>220</v>
      </c>
      <c r="H29" s="49" t="s">
        <v>220</v>
      </c>
      <c r="I29" s="51">
        <f t="shared" si="2"/>
        <v>0</v>
      </c>
      <c r="J29" s="49" t="s">
        <v>220</v>
      </c>
      <c r="K29" s="49" t="s">
        <v>220</v>
      </c>
      <c r="L29" s="49" t="s">
        <v>220</v>
      </c>
      <c r="M29" s="49" t="s">
        <v>220</v>
      </c>
      <c r="N29" s="50">
        <v>7.7</v>
      </c>
      <c r="O29" t="str">
        <f t="shared" si="3"/>
        <v>RJZ</v>
      </c>
      <c r="P29" s="22"/>
      <c r="Q29" s="22"/>
      <c r="R29" s="22"/>
      <c r="S29" s="22"/>
      <c r="T29" s="40"/>
      <c r="U29" s="28"/>
    </row>
    <row r="30" spans="1:22" x14ac:dyDescent="0.25">
      <c r="A30" t="s">
        <v>113</v>
      </c>
      <c r="B30" t="s">
        <v>114</v>
      </c>
      <c r="C30" s="5">
        <v>56</v>
      </c>
      <c r="D30" s="5">
        <v>37</v>
      </c>
      <c r="E30" s="49">
        <v>0.98214290000000004</v>
      </c>
      <c r="F30" s="49">
        <v>0.98214290000000004</v>
      </c>
      <c r="G30" s="49">
        <v>0.98214290000000004</v>
      </c>
      <c r="H30" s="49">
        <v>0.98214290000000004</v>
      </c>
      <c r="I30" s="51">
        <f t="shared" si="2"/>
        <v>19</v>
      </c>
      <c r="J30" s="49">
        <v>0.6607142857142857</v>
      </c>
      <c r="K30" s="49">
        <v>0.3392857142857143</v>
      </c>
      <c r="L30" s="5" t="s">
        <v>187</v>
      </c>
      <c r="M30" s="5" t="s">
        <v>211</v>
      </c>
      <c r="N30" s="50">
        <v>0.46471000000000001</v>
      </c>
      <c r="O30" t="str">
        <f t="shared" si="3"/>
        <v>RXN</v>
      </c>
      <c r="P30" s="22">
        <f t="shared" si="4"/>
        <v>3</v>
      </c>
      <c r="Q30" s="22">
        <f t="shared" si="5"/>
        <v>2</v>
      </c>
      <c r="R30" s="22">
        <f t="shared" si="6"/>
        <v>3</v>
      </c>
      <c r="S30" s="22">
        <f t="shared" si="7"/>
        <v>4</v>
      </c>
      <c r="T30" s="40" t="e">
        <f>IF(#REF!=4, RANK(H30,H$8:H$82,1)+COUNTIF($H$8:H30,H30)-1, IF(#REF!=3, RANK(G30,G$8:G$82,1)+COUNTIF($G$8:G30,G30)-1, IF(#REF!=2, RANK(F30,F$8:F$82,1)+COUNTIF($F$8:F30,F30)-1, IF(#REF!=1, RANK(E30,E$8:E$82,1)+COUNTIF($E$8:E30,E30)-1))))</f>
        <v>#REF!</v>
      </c>
      <c r="U30" s="28" t="e">
        <f>IF(#REF!=4, H30, IF(#REF!=3, G30, IF(#REF!=2, F30, IF(#REF!=1, E30))))</f>
        <v>#REF!</v>
      </c>
      <c r="V30">
        <f t="shared" si="1"/>
        <v>25</v>
      </c>
    </row>
    <row r="31" spans="1:22" x14ac:dyDescent="0.25">
      <c r="A31" t="s">
        <v>75</v>
      </c>
      <c r="B31" t="s">
        <v>76</v>
      </c>
      <c r="C31" s="5">
        <v>24</v>
      </c>
      <c r="D31" s="5">
        <v>14</v>
      </c>
      <c r="E31" s="49">
        <v>0.95833330000000005</v>
      </c>
      <c r="F31" s="49">
        <v>1</v>
      </c>
      <c r="G31" s="49">
        <v>0.95454539999999999</v>
      </c>
      <c r="H31" s="49">
        <v>0.875</v>
      </c>
      <c r="I31" s="51">
        <f t="shared" si="2"/>
        <v>10</v>
      </c>
      <c r="J31" s="49">
        <v>0.58333333333333337</v>
      </c>
      <c r="K31" s="49">
        <v>0.41666666666666669</v>
      </c>
      <c r="L31" s="5" t="s">
        <v>355</v>
      </c>
      <c r="M31" s="5" t="s">
        <v>211</v>
      </c>
      <c r="N31" s="50">
        <v>0.78718999999999995</v>
      </c>
      <c r="O31" t="str">
        <f t="shared" si="3"/>
        <v>RR8</v>
      </c>
      <c r="P31" s="22">
        <f t="shared" si="4"/>
        <v>3</v>
      </c>
      <c r="Q31" s="22">
        <f t="shared" si="5"/>
        <v>4</v>
      </c>
      <c r="R31" s="22">
        <f t="shared" si="6"/>
        <v>2</v>
      </c>
      <c r="S31" s="22">
        <f t="shared" si="7"/>
        <v>2</v>
      </c>
      <c r="T31" s="40" t="e">
        <f>IF(#REF!=4, RANK(H31,H$8:H$82,1)+COUNTIF($H$8:H31,H31)-1, IF(#REF!=3, RANK(G31,G$8:G$82,1)+COUNTIF($G$8:G31,G31)-1, IF(#REF!=2, RANK(F31,F$8:F$82,1)+COUNTIF($F$8:F31,F31)-1, IF(#REF!=1, RANK(E31,E$8:E$82,1)+COUNTIF($E$8:E31,E31)-1))))</f>
        <v>#REF!</v>
      </c>
      <c r="U31" s="28" t="e">
        <f>IF(#REF!=4, H31, IF(#REF!=3, G31, IF(#REF!=2, F31, IF(#REF!=1, E31))))</f>
        <v>#REF!</v>
      </c>
      <c r="V31">
        <f t="shared" si="1"/>
        <v>35</v>
      </c>
    </row>
    <row r="32" spans="1:22" x14ac:dyDescent="0.25">
      <c r="A32" t="s">
        <v>340</v>
      </c>
      <c r="B32" t="s">
        <v>341</v>
      </c>
      <c r="C32" s="5">
        <v>8</v>
      </c>
      <c r="D32" s="5" t="s">
        <v>226</v>
      </c>
      <c r="E32" s="49">
        <v>0.875</v>
      </c>
      <c r="F32" s="49">
        <v>1</v>
      </c>
      <c r="G32" s="49">
        <v>0.875</v>
      </c>
      <c r="H32" s="49">
        <v>0.625</v>
      </c>
      <c r="I32" s="51" t="e">
        <f t="shared" si="2"/>
        <v>#VALUE!</v>
      </c>
      <c r="J32" s="49">
        <v>0.375</v>
      </c>
      <c r="K32" s="49">
        <v>0.625</v>
      </c>
      <c r="L32" s="5" t="s">
        <v>227</v>
      </c>
      <c r="M32" s="5" t="s">
        <v>342</v>
      </c>
      <c r="N32" s="50">
        <v>0</v>
      </c>
      <c r="O32" t="str">
        <f t="shared" si="3"/>
        <v>RBQ</v>
      </c>
      <c r="P32" s="22">
        <f t="shared" si="4"/>
        <v>2</v>
      </c>
      <c r="Q32" s="22">
        <f t="shared" si="5"/>
        <v>4</v>
      </c>
      <c r="R32" s="22">
        <f t="shared" si="6"/>
        <v>2</v>
      </c>
      <c r="S32" s="22">
        <f t="shared" si="7"/>
        <v>1</v>
      </c>
      <c r="T32" s="40" t="e">
        <f>IF(#REF!=4, RANK(H32,H$8:H$82,1)+COUNTIF($H$8:H32,H32)-1, IF(#REF!=3, RANK(G32,G$8:G$82,1)+COUNTIF($G$8:G32,G32)-1, IF(#REF!=2, RANK(F32,F$8:F$82,1)+COUNTIF($F$8:F32,F32)-1, IF(#REF!=1, RANK(E32,E$8:E$82,1)+COUNTIF($E$8:E32,E32)-1))))</f>
        <v>#REF!</v>
      </c>
      <c r="U32" s="28" t="e">
        <f>IF(#REF!=4, H32, IF(#REF!=3, G32, IF(#REF!=2, F32, IF(#REF!=1, E32))))</f>
        <v>#REF!</v>
      </c>
      <c r="V32">
        <f t="shared" si="1"/>
        <v>62</v>
      </c>
    </row>
    <row r="33" spans="1:22" x14ac:dyDescent="0.25">
      <c r="A33" t="s">
        <v>29</v>
      </c>
      <c r="B33" t="s">
        <v>295</v>
      </c>
      <c r="C33" s="5">
        <v>46</v>
      </c>
      <c r="D33" s="5">
        <v>21</v>
      </c>
      <c r="E33" s="49">
        <v>0.97826089999999999</v>
      </c>
      <c r="F33" s="49">
        <v>1</v>
      </c>
      <c r="G33" s="49">
        <v>1</v>
      </c>
      <c r="H33" s="49">
        <v>0.82608689999999996</v>
      </c>
      <c r="I33" s="51">
        <f t="shared" si="2"/>
        <v>25</v>
      </c>
      <c r="J33" s="49">
        <v>0.45652173913043476</v>
      </c>
      <c r="K33" s="49">
        <v>0.54347826086956519</v>
      </c>
      <c r="L33" s="5" t="s">
        <v>183</v>
      </c>
      <c r="M33" s="5" t="s">
        <v>170</v>
      </c>
      <c r="N33" s="50">
        <v>1.41933</v>
      </c>
      <c r="O33" t="str">
        <f t="shared" si="3"/>
        <v>REM</v>
      </c>
      <c r="P33" s="22">
        <f t="shared" si="4"/>
        <v>3</v>
      </c>
      <c r="Q33" s="22">
        <f t="shared" si="5"/>
        <v>4</v>
      </c>
      <c r="R33" s="22">
        <f t="shared" si="6"/>
        <v>4</v>
      </c>
      <c r="S33" s="22">
        <f t="shared" si="7"/>
        <v>2</v>
      </c>
      <c r="T33" s="40" t="e">
        <f>IF(#REF!=4, RANK(H33,H$8:H$82,1)+COUNTIF($H$8:H33,H33)-1, IF(#REF!=3, RANK(G33,G$8:G$82,1)+COUNTIF($G$8:G33,G33)-1, IF(#REF!=2, RANK(F33,F$8:F$82,1)+COUNTIF($F$8:F33,F33)-1, IF(#REF!=1, RANK(E33,E$8:E$82,1)+COUNTIF($E$8:E33,E33)-1))))</f>
        <v>#REF!</v>
      </c>
      <c r="U33" s="28" t="e">
        <f>IF(#REF!=4, H33, IF(#REF!=3, G33, IF(#REF!=2, F33, IF(#REF!=1, E33))))</f>
        <v>#REF!</v>
      </c>
      <c r="V33">
        <f t="shared" si="1"/>
        <v>54</v>
      </c>
    </row>
    <row r="34" spans="1:22" x14ac:dyDescent="0.25">
      <c r="A34" t="s">
        <v>12</v>
      </c>
      <c r="B34" t="s">
        <v>296</v>
      </c>
      <c r="C34" s="5">
        <v>11</v>
      </c>
      <c r="D34" s="5">
        <v>11</v>
      </c>
      <c r="E34" s="49">
        <v>1</v>
      </c>
      <c r="F34" s="49">
        <v>1</v>
      </c>
      <c r="G34" s="49">
        <v>1</v>
      </c>
      <c r="H34" s="49">
        <v>0.90909090000000004</v>
      </c>
      <c r="I34" s="51">
        <f t="shared" si="2"/>
        <v>0</v>
      </c>
      <c r="J34" s="49">
        <v>1</v>
      </c>
      <c r="K34" s="49">
        <v>0</v>
      </c>
      <c r="L34" s="5" t="s">
        <v>185</v>
      </c>
      <c r="M34" s="5" t="s">
        <v>220</v>
      </c>
      <c r="N34" s="50">
        <v>1.68631</v>
      </c>
      <c r="O34" t="str">
        <f t="shared" si="3"/>
        <v>R1K</v>
      </c>
      <c r="P34" s="22">
        <f t="shared" si="4"/>
        <v>4</v>
      </c>
      <c r="Q34" s="22">
        <f t="shared" si="5"/>
        <v>4</v>
      </c>
      <c r="R34" s="22">
        <f t="shared" si="6"/>
        <v>4</v>
      </c>
      <c r="S34" s="22">
        <f t="shared" si="7"/>
        <v>2</v>
      </c>
      <c r="T34" s="40" t="e">
        <f>IF(#REF!=4, RANK(H34,H$8:H$82,1)+COUNTIF($H$8:H34,H34)-1, IF(#REF!=3, RANK(G34,G$8:G$82,1)+COUNTIF($G$8:G34,G34)-1, IF(#REF!=2, RANK(F34,F$8:F$82,1)+COUNTIF($F$8:F34,F34)-1, IF(#REF!=1, RANK(E34,E$8:E$82,1)+COUNTIF($E$8:E34,E34)-1))))</f>
        <v>#REF!</v>
      </c>
      <c r="U34" s="28" t="e">
        <f>IF(#REF!=4, H34, IF(#REF!=3, G34, IF(#REF!=2, F34, IF(#REF!=1, E34))))</f>
        <v>#REF!</v>
      </c>
      <c r="V34">
        <f t="shared" si="1"/>
        <v>1</v>
      </c>
    </row>
    <row r="35" spans="1:22" x14ac:dyDescent="0.25">
      <c r="A35" t="s">
        <v>8</v>
      </c>
      <c r="B35" t="s">
        <v>9</v>
      </c>
      <c r="C35" s="5">
        <v>55</v>
      </c>
      <c r="D35" s="5">
        <v>36</v>
      </c>
      <c r="E35" s="49">
        <v>0.9636363</v>
      </c>
      <c r="F35" s="49">
        <v>0.98181819999999997</v>
      </c>
      <c r="G35" s="49">
        <v>0.98039220000000005</v>
      </c>
      <c r="H35" s="49">
        <v>0.94545449999999998</v>
      </c>
      <c r="I35" s="51">
        <f t="shared" si="2"/>
        <v>19</v>
      </c>
      <c r="J35" s="49">
        <v>0.65454545454545454</v>
      </c>
      <c r="K35" s="49">
        <v>0.34545454545454546</v>
      </c>
      <c r="L35" s="5" t="s">
        <v>187</v>
      </c>
      <c r="M35" s="5" t="s">
        <v>213</v>
      </c>
      <c r="N35" s="50">
        <v>0.42995000000000005</v>
      </c>
      <c r="O35" t="str">
        <f t="shared" si="3"/>
        <v>R0A</v>
      </c>
      <c r="P35" s="22">
        <f t="shared" si="4"/>
        <v>3</v>
      </c>
      <c r="Q35" s="22">
        <f t="shared" si="5"/>
        <v>2</v>
      </c>
      <c r="R35" s="22">
        <f t="shared" si="6"/>
        <v>3</v>
      </c>
      <c r="S35" s="22">
        <f t="shared" si="7"/>
        <v>3</v>
      </c>
      <c r="T35" s="40" t="e">
        <f>IF(#REF!=4, RANK(H35,H$8:H$82,1)+COUNTIF($H$8:H35,H35)-1, IF(#REF!=3, RANK(G35,G$8:G$82,1)+COUNTIF($G$8:G35,G35)-1, IF(#REF!=2, RANK(F35,F$8:F$82,1)+COUNTIF($F$8:F35,F35)-1, IF(#REF!=1, RANK(E35,E$8:E$82,1)+COUNTIF($E$8:E35,E35)-1))))</f>
        <v>#REF!</v>
      </c>
      <c r="U35" s="28" t="e">
        <f>IF(#REF!=4, H35, IF(#REF!=3, G35, IF(#REF!=2, F35, IF(#REF!=1, E35))))</f>
        <v>#REF!</v>
      </c>
      <c r="V35">
        <f t="shared" si="1"/>
        <v>26</v>
      </c>
    </row>
    <row r="36" spans="1:22" x14ac:dyDescent="0.25">
      <c r="A36" t="s">
        <v>17</v>
      </c>
      <c r="B36" t="s">
        <v>339</v>
      </c>
      <c r="C36" s="5">
        <v>30</v>
      </c>
      <c r="D36" s="5">
        <v>25</v>
      </c>
      <c r="E36" s="49">
        <v>0.93333330000000003</v>
      </c>
      <c r="F36" s="49">
        <v>0.9</v>
      </c>
      <c r="G36" s="49">
        <v>0.91304350000000001</v>
      </c>
      <c r="H36" s="49">
        <v>0.83333330000000005</v>
      </c>
      <c r="I36" s="51">
        <f t="shared" si="2"/>
        <v>5</v>
      </c>
      <c r="J36" s="49">
        <v>0.83333333333333337</v>
      </c>
      <c r="K36" s="49">
        <v>0.16666666666666666</v>
      </c>
      <c r="L36" s="5" t="s">
        <v>189</v>
      </c>
      <c r="M36" s="5" t="s">
        <v>170</v>
      </c>
      <c r="N36" s="50">
        <v>2.1742699999999999</v>
      </c>
      <c r="O36" t="str">
        <f t="shared" si="3"/>
        <v>RAJ</v>
      </c>
      <c r="P36" s="22">
        <f t="shared" si="4"/>
        <v>2</v>
      </c>
      <c r="Q36" s="22">
        <f t="shared" si="5"/>
        <v>1</v>
      </c>
      <c r="R36" s="22">
        <f t="shared" si="6"/>
        <v>2</v>
      </c>
      <c r="S36" s="22">
        <f t="shared" si="7"/>
        <v>2</v>
      </c>
      <c r="T36" s="40" t="e">
        <f>IF(#REF!=4, RANK(H36,H$8:H$82,1)+COUNTIF($H$8:H36,H36)-1, IF(#REF!=3, RANK(G36,G$8:G$82,1)+COUNTIF($G$8:G36,G36)-1, IF(#REF!=2, RANK(F36,F$8:F$82,1)+COUNTIF($F$8:F36,F36)-1, IF(#REF!=1, RANK(E36,E$8:E$82,1)+COUNTIF($E$8:E36,E36)-1))))</f>
        <v>#REF!</v>
      </c>
      <c r="U36" s="28" t="e">
        <f>IF(#REF!=4, H36, IF(#REF!=3, G36, IF(#REF!=2, F36, IF(#REF!=1, E36))))</f>
        <v>#REF!</v>
      </c>
      <c r="V36">
        <f t="shared" si="1"/>
        <v>7</v>
      </c>
    </row>
    <row r="37" spans="1:22" x14ac:dyDescent="0.25">
      <c r="A37" t="s">
        <v>83</v>
      </c>
      <c r="B37" t="s">
        <v>84</v>
      </c>
      <c r="C37" s="5">
        <v>60</v>
      </c>
      <c r="D37" s="5">
        <v>24</v>
      </c>
      <c r="E37" s="49">
        <v>0.93333330000000003</v>
      </c>
      <c r="F37" s="49">
        <v>0.96666660000000004</v>
      </c>
      <c r="G37" s="49">
        <v>0.96153840000000002</v>
      </c>
      <c r="H37" s="49">
        <v>0.91666669999999995</v>
      </c>
      <c r="I37" s="51">
        <f t="shared" si="2"/>
        <v>36</v>
      </c>
      <c r="J37" s="49">
        <v>0.4</v>
      </c>
      <c r="K37" s="49">
        <v>0.6</v>
      </c>
      <c r="L37" s="5" t="s">
        <v>172</v>
      </c>
      <c r="M37" s="5" t="s">
        <v>163</v>
      </c>
      <c r="N37" s="50">
        <v>2.91588</v>
      </c>
      <c r="O37" t="str">
        <f t="shared" si="3"/>
        <v>RTD</v>
      </c>
      <c r="P37" s="22">
        <f t="shared" si="4"/>
        <v>2</v>
      </c>
      <c r="Q37" s="22">
        <f t="shared" si="5"/>
        <v>2</v>
      </c>
      <c r="R37" s="22">
        <f t="shared" si="6"/>
        <v>3</v>
      </c>
      <c r="S37" s="22">
        <f t="shared" si="7"/>
        <v>2</v>
      </c>
      <c r="T37" s="40" t="e">
        <f>IF(#REF!=4, RANK(H37,H$8:H$82,1)+COUNTIF($H$8:H37,H37)-1, IF(#REF!=3, RANK(G37,G$8:G$82,1)+COUNTIF($G$8:G37,G37)-1, IF(#REF!=2, RANK(F37,F$8:F$82,1)+COUNTIF($F$8:F37,F37)-1, IF(#REF!=1, RANK(E37,E$8:E$82,1)+COUNTIF($E$8:E37,E37)-1))))</f>
        <v>#REF!</v>
      </c>
      <c r="U37" s="28" t="e">
        <f>IF(#REF!=4, H37, IF(#REF!=3, G37, IF(#REF!=2, F37, IF(#REF!=1, E37))))</f>
        <v>#REF!</v>
      </c>
      <c r="V37">
        <f t="shared" si="1"/>
        <v>60</v>
      </c>
    </row>
    <row r="38" spans="1:22" x14ac:dyDescent="0.25">
      <c r="A38" t="s">
        <v>121</v>
      </c>
      <c r="B38" t="s">
        <v>122</v>
      </c>
      <c r="C38" s="5" t="s">
        <v>226</v>
      </c>
      <c r="D38" s="5">
        <v>0</v>
      </c>
      <c r="E38" s="49">
        <v>1</v>
      </c>
      <c r="F38" s="49">
        <v>1</v>
      </c>
      <c r="G38" s="49">
        <v>1</v>
      </c>
      <c r="H38" s="49">
        <v>1</v>
      </c>
      <c r="I38" s="51" t="e">
        <f t="shared" si="2"/>
        <v>#VALUE!</v>
      </c>
      <c r="J38" s="49">
        <v>0</v>
      </c>
      <c r="K38" s="49">
        <v>1</v>
      </c>
      <c r="L38" s="5" t="s">
        <v>220</v>
      </c>
      <c r="M38" s="5" t="s">
        <v>227</v>
      </c>
      <c r="N38" s="50">
        <v>0</v>
      </c>
      <c r="O38" t="str">
        <f t="shared" si="3"/>
        <v>SA999</v>
      </c>
      <c r="P38" s="22">
        <f t="shared" si="4"/>
        <v>4</v>
      </c>
      <c r="Q38" s="22">
        <f t="shared" si="5"/>
        <v>4</v>
      </c>
      <c r="R38" s="22">
        <f t="shared" si="6"/>
        <v>4</v>
      </c>
      <c r="S38" s="22">
        <f t="shared" si="7"/>
        <v>4</v>
      </c>
      <c r="T38" s="40" t="e">
        <f>IF(#REF!=4, RANK(H38,H$8:H$82,1)+COUNTIF($H$8:H38,H38)-1, IF(#REF!=3, RANK(G38,G$8:G$82,1)+COUNTIF($G$8:G38,G38)-1, IF(#REF!=2, RANK(F38,F$8:F$82,1)+COUNTIF($F$8:F38,F38)-1, IF(#REF!=1, RANK(E38,E$8:E$82,1)+COUNTIF($E$8:E38,E38)-1))))</f>
        <v>#REF!</v>
      </c>
      <c r="U38" s="28" t="e">
        <f>IF(#REF!=4, H38, IF(#REF!=3, G38, IF(#REF!=2, F38, IF(#REF!=1, E38))))</f>
        <v>#REF!</v>
      </c>
      <c r="V38">
        <f t="shared" si="1"/>
        <v>68</v>
      </c>
    </row>
    <row r="39" spans="1:22" x14ac:dyDescent="0.25">
      <c r="A39" t="s">
        <v>129</v>
      </c>
      <c r="B39" t="s">
        <v>130</v>
      </c>
      <c r="C39" s="5">
        <v>17</v>
      </c>
      <c r="D39" s="5">
        <v>12</v>
      </c>
      <c r="E39" s="49">
        <v>0.70588240000000002</v>
      </c>
      <c r="F39" s="49">
        <v>1</v>
      </c>
      <c r="G39" s="49">
        <v>0.70588240000000002</v>
      </c>
      <c r="H39" s="49">
        <v>0.70588240000000002</v>
      </c>
      <c r="I39" s="51">
        <f t="shared" si="2"/>
        <v>5</v>
      </c>
      <c r="J39" s="49">
        <v>0.70588235294117652</v>
      </c>
      <c r="K39" s="49">
        <v>0.29411764705882354</v>
      </c>
      <c r="L39" s="5" t="s">
        <v>171</v>
      </c>
      <c r="M39" s="5" t="s">
        <v>218</v>
      </c>
      <c r="N39" s="50">
        <v>0</v>
      </c>
      <c r="O39" t="str">
        <f t="shared" si="3"/>
        <v>SN999</v>
      </c>
      <c r="P39" s="22">
        <f t="shared" si="4"/>
        <v>1</v>
      </c>
      <c r="Q39" s="22">
        <f t="shared" si="5"/>
        <v>4</v>
      </c>
      <c r="R39" s="22">
        <f t="shared" si="6"/>
        <v>1</v>
      </c>
      <c r="S39" s="22">
        <f t="shared" si="7"/>
        <v>1</v>
      </c>
      <c r="T39" s="40" t="e">
        <f>IF(#REF!=4, RANK(H39,H$8:H$82,1)+COUNTIF($H$8:H39,H39)-1, IF(#REF!=3, RANK(G39,G$8:G$82,1)+COUNTIF($G$8:G39,G39)-1, IF(#REF!=2, RANK(F39,F$8:F$82,1)+COUNTIF($F$8:F39,F39)-1, IF(#REF!=1, RANK(E39,E$8:E$82,1)+COUNTIF($E$8:E39,E39)-1))))</f>
        <v>#REF!</v>
      </c>
      <c r="U39" s="28" t="e">
        <f>IF(#REF!=4, H39, IF(#REF!=3, G39, IF(#REF!=2, F39, IF(#REF!=1, E39))))</f>
        <v>#REF!</v>
      </c>
      <c r="V39">
        <f t="shared" si="1"/>
        <v>22</v>
      </c>
    </row>
    <row r="40" spans="1:22" x14ac:dyDescent="0.25">
      <c r="A40" t="s">
        <v>123</v>
      </c>
      <c r="B40" t="s">
        <v>124</v>
      </c>
      <c r="C40" s="5">
        <v>12</v>
      </c>
      <c r="D40" s="5">
        <v>9</v>
      </c>
      <c r="E40" s="49">
        <v>1</v>
      </c>
      <c r="F40" s="49">
        <v>1</v>
      </c>
      <c r="G40" s="49">
        <v>1</v>
      </c>
      <c r="H40" s="49">
        <v>1</v>
      </c>
      <c r="I40" s="51">
        <f t="shared" si="2"/>
        <v>3</v>
      </c>
      <c r="J40" s="49">
        <v>0.75</v>
      </c>
      <c r="K40" s="49">
        <v>0.25</v>
      </c>
      <c r="L40" s="5" t="s">
        <v>187</v>
      </c>
      <c r="M40" s="5" t="s">
        <v>216</v>
      </c>
      <c r="N40" s="50">
        <v>1.50247</v>
      </c>
      <c r="O40" t="str">
        <f t="shared" si="3"/>
        <v>SG999</v>
      </c>
      <c r="P40" s="22">
        <f t="shared" si="4"/>
        <v>4</v>
      </c>
      <c r="Q40" s="22">
        <f t="shared" si="5"/>
        <v>4</v>
      </c>
      <c r="R40" s="22">
        <f t="shared" si="6"/>
        <v>4</v>
      </c>
      <c r="S40" s="22">
        <f t="shared" si="7"/>
        <v>4</v>
      </c>
      <c r="T40" s="40" t="e">
        <f>IF(#REF!=4, RANK(H40,H$8:H$82,1)+COUNTIF($H$8:H40,H40)-1, IF(#REF!=3, RANK(G40,G$8:G$82,1)+COUNTIF($G$8:G40,G40)-1, IF(#REF!=2, RANK(F40,F$8:F$82,1)+COUNTIF($F$8:F40,F40)-1, IF(#REF!=1, RANK(E40,E$8:E$82,1)+COUNTIF($E$8:E40,E40)-1))))</f>
        <v>#REF!</v>
      </c>
      <c r="U40" s="28" t="e">
        <f>IF(#REF!=4, H40, IF(#REF!=3, G40, IF(#REF!=2, F40, IF(#REF!=1, E40))))</f>
        <v>#REF!</v>
      </c>
      <c r="V40">
        <f t="shared" si="1"/>
        <v>18</v>
      </c>
    </row>
    <row r="41" spans="1:22" x14ac:dyDescent="0.25">
      <c r="A41" t="s">
        <v>125</v>
      </c>
      <c r="B41" t="s">
        <v>126</v>
      </c>
      <c r="C41" s="5">
        <v>16</v>
      </c>
      <c r="D41" s="5" t="s">
        <v>226</v>
      </c>
      <c r="E41" s="49">
        <v>1</v>
      </c>
      <c r="F41" s="49">
        <v>1</v>
      </c>
      <c r="G41" s="49">
        <v>1</v>
      </c>
      <c r="H41" s="49">
        <v>1</v>
      </c>
      <c r="I41" s="51" t="e">
        <f t="shared" si="2"/>
        <v>#VALUE!</v>
      </c>
      <c r="J41" s="49">
        <v>0.25</v>
      </c>
      <c r="K41" s="49">
        <v>0.75</v>
      </c>
      <c r="L41" s="5" t="s">
        <v>227</v>
      </c>
      <c r="M41" s="5" t="s">
        <v>362</v>
      </c>
      <c r="N41" s="50">
        <v>0</v>
      </c>
      <c r="O41" t="str">
        <f t="shared" si="3"/>
        <v>SH999</v>
      </c>
      <c r="P41" s="22">
        <f t="shared" si="4"/>
        <v>4</v>
      </c>
      <c r="Q41" s="22">
        <f t="shared" si="5"/>
        <v>4</v>
      </c>
      <c r="R41" s="22">
        <f t="shared" si="6"/>
        <v>4</v>
      </c>
      <c r="S41" s="22">
        <f t="shared" si="7"/>
        <v>4</v>
      </c>
      <c r="T41" s="40" t="e">
        <f>IF(#REF!=4, RANK(H41,H$8:H$82,1)+COUNTIF($H$8:H41,H41)-1, IF(#REF!=3, RANK(G41,G$8:G$82,1)+COUNTIF($G$8:G41,G41)-1, IF(#REF!=2, RANK(F41,F$8:F$82,1)+COUNTIF($F$8:F41,F41)-1, IF(#REF!=1, RANK(E41,E$8:E$82,1)+COUNTIF($E$8:E41,E41)-1))))</f>
        <v>#REF!</v>
      </c>
      <c r="U41" s="28" t="e">
        <f>IF(#REF!=4, H41, IF(#REF!=3, G41, IF(#REF!=2, F41, IF(#REF!=1, E41))))</f>
        <v>#REF!</v>
      </c>
      <c r="V41">
        <f t="shared" ref="V41:V72" si="8">RANK(J41,$J$8:$J$78)</f>
        <v>65</v>
      </c>
    </row>
    <row r="42" spans="1:22" x14ac:dyDescent="0.25">
      <c r="A42" t="s">
        <v>127</v>
      </c>
      <c r="B42" t="s">
        <v>128</v>
      </c>
      <c r="C42" s="5">
        <v>30</v>
      </c>
      <c r="D42" s="5">
        <v>21</v>
      </c>
      <c r="E42" s="49">
        <v>0.66666669999999995</v>
      </c>
      <c r="F42" s="49">
        <v>1</v>
      </c>
      <c r="G42" s="49">
        <v>0.71428570000000002</v>
      </c>
      <c r="H42" s="49">
        <v>0.6</v>
      </c>
      <c r="I42" s="51">
        <f t="shared" si="2"/>
        <v>9</v>
      </c>
      <c r="J42" s="49">
        <v>0.7</v>
      </c>
      <c r="K42" s="49">
        <v>0.3</v>
      </c>
      <c r="L42" s="5" t="s">
        <v>187</v>
      </c>
      <c r="M42" s="5" t="s">
        <v>363</v>
      </c>
      <c r="N42" s="50">
        <v>2.3461599999999998</v>
      </c>
      <c r="O42" t="str">
        <f t="shared" si="3"/>
        <v>SL999</v>
      </c>
      <c r="P42" s="22">
        <f t="shared" si="4"/>
        <v>1</v>
      </c>
      <c r="Q42" s="22">
        <f t="shared" si="5"/>
        <v>4</v>
      </c>
      <c r="R42" s="22">
        <f t="shared" si="6"/>
        <v>1</v>
      </c>
      <c r="S42" s="22">
        <f t="shared" si="7"/>
        <v>1</v>
      </c>
      <c r="T42" s="40" t="e">
        <f>IF(#REF!=4, RANK(H42,H$8:H$82,1)+COUNTIF($H$8:H42,H42)-1, IF(#REF!=3, RANK(G42,G$8:G$82,1)+COUNTIF($G$8:G42,G42)-1, IF(#REF!=2, RANK(F42,F$8:F$82,1)+COUNTIF($F$8:F42,F42)-1, IF(#REF!=1, RANK(E42,E$8:E$82,1)+COUNTIF($E$8:E42,E42)-1))))</f>
        <v>#REF!</v>
      </c>
      <c r="U42" s="28" t="e">
        <f>IF(#REF!=4, H42, IF(#REF!=3, G42, IF(#REF!=2, F42, IF(#REF!=1, E42))))</f>
        <v>#REF!</v>
      </c>
      <c r="V42">
        <f t="shared" si="8"/>
        <v>23</v>
      </c>
    </row>
    <row r="43" spans="1:22" x14ac:dyDescent="0.25">
      <c r="A43" t="s">
        <v>131</v>
      </c>
      <c r="B43" t="s">
        <v>132</v>
      </c>
      <c r="C43" s="5">
        <v>12</v>
      </c>
      <c r="D43" s="5" t="s">
        <v>226</v>
      </c>
      <c r="E43" s="49">
        <v>1</v>
      </c>
      <c r="F43" s="49">
        <v>1</v>
      </c>
      <c r="G43" s="49">
        <v>1</v>
      </c>
      <c r="H43" s="49">
        <v>1</v>
      </c>
      <c r="I43" s="51" t="e">
        <f t="shared" si="2"/>
        <v>#VALUE!</v>
      </c>
      <c r="J43" s="49">
        <v>0.33333333333333331</v>
      </c>
      <c r="K43" s="49">
        <v>0.66666666666666663</v>
      </c>
      <c r="L43" s="5" t="s">
        <v>275</v>
      </c>
      <c r="M43" s="5" t="s">
        <v>227</v>
      </c>
      <c r="N43" s="50">
        <v>0</v>
      </c>
      <c r="O43" t="str">
        <f t="shared" si="3"/>
        <v>SS999</v>
      </c>
      <c r="P43" s="22">
        <f t="shared" si="4"/>
        <v>4</v>
      </c>
      <c r="Q43" s="22">
        <f t="shared" si="5"/>
        <v>4</v>
      </c>
      <c r="R43" s="22">
        <f t="shared" si="6"/>
        <v>4</v>
      </c>
      <c r="S43" s="22">
        <f t="shared" si="7"/>
        <v>4</v>
      </c>
      <c r="T43" s="40" t="e">
        <f>IF(#REF!=4, RANK(H43,H$8:H$82,1)+COUNTIF($H$8:H43,H43)-1, IF(#REF!=3, RANK(G43,G$8:G$82,1)+COUNTIF($G$8:G43,G43)-1, IF(#REF!=2, RANK(F43,F$8:F$82,1)+COUNTIF($F$8:F43,F43)-1, IF(#REF!=1, RANK(E43,E$8:E$82,1)+COUNTIF($E$8:E43,E43)-1))))</f>
        <v>#REF!</v>
      </c>
      <c r="U43" s="28" t="e">
        <f>IF(#REF!=4, H43, IF(#REF!=3, G43, IF(#REF!=2, F43, IF(#REF!=1, E43))))</f>
        <v>#REF!</v>
      </c>
      <c r="V43">
        <f t="shared" si="8"/>
        <v>63</v>
      </c>
    </row>
    <row r="44" spans="1:22" x14ac:dyDescent="0.25">
      <c r="A44" t="s">
        <v>133</v>
      </c>
      <c r="B44" t="s">
        <v>134</v>
      </c>
      <c r="C44" s="5" t="s">
        <v>226</v>
      </c>
      <c r="D44" s="5">
        <v>0</v>
      </c>
      <c r="E44" s="49">
        <v>1</v>
      </c>
      <c r="F44" s="49">
        <v>1</v>
      </c>
      <c r="G44" s="49">
        <v>1</v>
      </c>
      <c r="H44" s="49">
        <v>1</v>
      </c>
      <c r="I44" s="51" t="e">
        <f t="shared" si="2"/>
        <v>#VALUE!</v>
      </c>
      <c r="J44" s="49">
        <v>0</v>
      </c>
      <c r="K44" s="49">
        <v>1</v>
      </c>
      <c r="L44" s="5" t="s">
        <v>220</v>
      </c>
      <c r="M44" s="5" t="s">
        <v>227</v>
      </c>
      <c r="N44" s="50">
        <v>0</v>
      </c>
      <c r="O44" t="str">
        <f t="shared" si="3"/>
        <v>ST999</v>
      </c>
      <c r="P44" s="22">
        <f t="shared" si="4"/>
        <v>4</v>
      </c>
      <c r="Q44" s="22">
        <f t="shared" si="5"/>
        <v>4</v>
      </c>
      <c r="R44" s="22">
        <f t="shared" si="6"/>
        <v>4</v>
      </c>
      <c r="S44" s="22">
        <f t="shared" si="7"/>
        <v>4</v>
      </c>
      <c r="T44" s="40" t="e">
        <f>IF(#REF!=4, RANK(H44,H$8:H$82,1)+COUNTIF($H$8:H44,H44)-1, IF(#REF!=3, RANK(G44,G$8:G$82,1)+COUNTIF($G$8:G44,G44)-1, IF(#REF!=2, RANK(F44,F$8:F$82,1)+COUNTIF($F$8:F44,F44)-1, IF(#REF!=1, RANK(E44,E$8:E$82,1)+COUNTIF($E$8:E44,E44)-1))))</f>
        <v>#REF!</v>
      </c>
      <c r="U44" s="28" t="e">
        <f>IF(#REF!=4, H44, IF(#REF!=3, G44, IF(#REF!=2, F44, IF(#REF!=1, E44))))</f>
        <v>#REF!</v>
      </c>
      <c r="V44">
        <f t="shared" si="8"/>
        <v>68</v>
      </c>
    </row>
    <row r="45" spans="1:22" x14ac:dyDescent="0.25">
      <c r="A45" t="s">
        <v>60</v>
      </c>
      <c r="B45" t="s">
        <v>61</v>
      </c>
      <c r="C45" s="5">
        <v>51</v>
      </c>
      <c r="D45" s="5">
        <v>22</v>
      </c>
      <c r="E45" s="49">
        <v>0.96078430000000004</v>
      </c>
      <c r="F45" s="49">
        <v>0.94117649999999997</v>
      </c>
      <c r="G45" s="49">
        <v>0.95918369999999997</v>
      </c>
      <c r="H45" s="49">
        <v>0.92156859999999996</v>
      </c>
      <c r="I45" s="51">
        <f t="shared" si="2"/>
        <v>29</v>
      </c>
      <c r="J45" s="49">
        <v>0.43137254901960786</v>
      </c>
      <c r="K45" s="49">
        <v>0.56862745098039214</v>
      </c>
      <c r="L45" s="5" t="s">
        <v>193</v>
      </c>
      <c r="M45" s="5" t="s">
        <v>352</v>
      </c>
      <c r="N45" s="50">
        <v>1.8256499999999998</v>
      </c>
      <c r="O45" t="str">
        <f t="shared" si="3"/>
        <v>RM1</v>
      </c>
      <c r="P45" s="22">
        <f t="shared" si="4"/>
        <v>3</v>
      </c>
      <c r="Q45" s="22">
        <f t="shared" si="5"/>
        <v>1</v>
      </c>
      <c r="R45" s="22">
        <f t="shared" si="6"/>
        <v>2</v>
      </c>
      <c r="S45" s="22">
        <f t="shared" si="7"/>
        <v>2</v>
      </c>
      <c r="T45" s="40" t="e">
        <f>IF(#REF!=4, RANK(H45,H$8:H$82,1)+COUNTIF($H$8:H45,H45)-1, IF(#REF!=3, RANK(G45,G$8:G$82,1)+COUNTIF($G$8:G45,G45)-1, IF(#REF!=2, RANK(F45,F$8:F$82,1)+COUNTIF($F$8:F45,F45)-1, IF(#REF!=1, RANK(E45,E$8:E$82,1)+COUNTIF($E$8:E45,E45)-1))))</f>
        <v>#REF!</v>
      </c>
      <c r="U45" s="28" t="e">
        <f>IF(#REF!=4, H45, IF(#REF!=3, G45, IF(#REF!=2, F45, IF(#REF!=1, E45))))</f>
        <v>#REF!</v>
      </c>
      <c r="V45">
        <f t="shared" si="8"/>
        <v>56</v>
      </c>
    </row>
    <row r="46" spans="1:22" x14ac:dyDescent="0.25">
      <c r="A46" t="s">
        <v>92</v>
      </c>
      <c r="B46" t="s">
        <v>93</v>
      </c>
      <c r="C46" s="5">
        <v>40</v>
      </c>
      <c r="D46" s="5">
        <v>24</v>
      </c>
      <c r="E46" s="49">
        <v>0.95</v>
      </c>
      <c r="F46" s="49">
        <v>1</v>
      </c>
      <c r="G46" s="49">
        <v>0.97297299999999998</v>
      </c>
      <c r="H46" s="49">
        <v>0.875</v>
      </c>
      <c r="I46" s="51">
        <f t="shared" si="2"/>
        <v>16</v>
      </c>
      <c r="J46" s="49">
        <v>0.6</v>
      </c>
      <c r="K46" s="49">
        <v>0.4</v>
      </c>
      <c r="L46" s="5" t="s">
        <v>189</v>
      </c>
      <c r="M46" s="5" t="s">
        <v>169</v>
      </c>
      <c r="N46" s="50">
        <v>2.8254999999999999</v>
      </c>
      <c r="O46" t="str">
        <f t="shared" si="3"/>
        <v>RVJ</v>
      </c>
      <c r="P46" s="22">
        <f t="shared" si="4"/>
        <v>2</v>
      </c>
      <c r="Q46" s="22">
        <f t="shared" si="5"/>
        <v>4</v>
      </c>
      <c r="R46" s="22">
        <f t="shared" si="6"/>
        <v>3</v>
      </c>
      <c r="S46" s="22">
        <f t="shared" si="7"/>
        <v>2</v>
      </c>
      <c r="T46" s="40" t="e">
        <f>IF(#REF!=4, RANK(H46,H$8:H$82,1)+COUNTIF($H$8:H46,H46)-1, IF(#REF!=3, RANK(G46,G$8:G$82,1)+COUNTIF($G$8:G46,G46)-1, IF(#REF!=2, RANK(F46,F$8:F$82,1)+COUNTIF($F$8:F46,F46)-1, IF(#REF!=1, RANK(E46,E$8:E$82,1)+COUNTIF($E$8:E46,E46)-1))))</f>
        <v>#REF!</v>
      </c>
      <c r="U46" s="28" t="e">
        <f>IF(#REF!=4, H46, IF(#REF!=3, G46, IF(#REF!=2, F46, IF(#REF!=1, E46))))</f>
        <v>#REF!</v>
      </c>
      <c r="V46">
        <f t="shared" si="8"/>
        <v>32</v>
      </c>
    </row>
    <row r="47" spans="1:22" x14ac:dyDescent="0.25">
      <c r="A47" s="5" t="s">
        <v>433</v>
      </c>
      <c r="B47" t="s">
        <v>353</v>
      </c>
      <c r="C47" s="5">
        <v>21</v>
      </c>
      <c r="D47" s="5">
        <v>10</v>
      </c>
      <c r="E47" s="49">
        <v>0.85714290000000004</v>
      </c>
      <c r="F47" s="49">
        <v>1</v>
      </c>
      <c r="G47" s="49">
        <v>0.9375</v>
      </c>
      <c r="H47" s="49">
        <v>0.76190480000000005</v>
      </c>
      <c r="I47" s="51">
        <f t="shared" si="2"/>
        <v>11</v>
      </c>
      <c r="J47" s="49">
        <v>0.47619047619047616</v>
      </c>
      <c r="K47" s="49">
        <v>0.52380952380952384</v>
      </c>
      <c r="L47" s="5" t="s">
        <v>193</v>
      </c>
      <c r="M47" s="5" t="s">
        <v>167</v>
      </c>
      <c r="N47" s="50">
        <v>1.9928399999999999</v>
      </c>
      <c r="O47" t="str">
        <f t="shared" si="3"/>
        <v>RNN</v>
      </c>
      <c r="P47" s="22">
        <f t="shared" si="4"/>
        <v>1</v>
      </c>
      <c r="Q47" s="22">
        <f t="shared" si="5"/>
        <v>4</v>
      </c>
      <c r="R47" s="22">
        <f t="shared" si="6"/>
        <v>2</v>
      </c>
      <c r="S47" s="22">
        <f t="shared" si="7"/>
        <v>1</v>
      </c>
      <c r="T47" s="40" t="e">
        <f>IF(#REF!=4, RANK(H47,H$8:H$82,1)+COUNTIF($H$8:H47,H47)-1, IF(#REF!=3, RANK(G47,G$8:G$82,1)+COUNTIF($G$8:G47,G47)-1, IF(#REF!=2, RANK(F47,F$8:F$82,1)+COUNTIF($F$8:F47,F47)-1, IF(#REF!=1, RANK(E47,E$8:E$82,1)+COUNTIF($E$8:E47,E47)-1))))</f>
        <v>#REF!</v>
      </c>
      <c r="U47" s="28" t="e">
        <f>IF(#REF!=4, H47, IF(#REF!=3, G47, IF(#REF!=2, F47, IF(#REF!=1, E47))))</f>
        <v>#REF!</v>
      </c>
      <c r="V47">
        <f t="shared" si="8"/>
        <v>51</v>
      </c>
    </row>
    <row r="48" spans="1:22" x14ac:dyDescent="0.25">
      <c r="A48" t="s">
        <v>66</v>
      </c>
      <c r="B48" t="s">
        <v>67</v>
      </c>
      <c r="C48" s="5">
        <v>24</v>
      </c>
      <c r="D48" s="5">
        <v>18</v>
      </c>
      <c r="E48" s="49">
        <v>0.83333330000000005</v>
      </c>
      <c r="F48" s="49">
        <v>1</v>
      </c>
      <c r="G48" s="49">
        <v>0.82608689999999996</v>
      </c>
      <c r="H48" s="49">
        <v>0.79166669999999995</v>
      </c>
      <c r="I48" s="51">
        <f t="shared" si="2"/>
        <v>6</v>
      </c>
      <c r="J48" s="49">
        <v>0.75</v>
      </c>
      <c r="K48" s="49">
        <v>0.25</v>
      </c>
      <c r="L48" s="5" t="s">
        <v>189</v>
      </c>
      <c r="M48" s="5" t="s">
        <v>167</v>
      </c>
      <c r="N48" s="50">
        <v>4.3647200000000002</v>
      </c>
      <c r="O48" t="str">
        <f t="shared" si="3"/>
        <v>RNS</v>
      </c>
      <c r="P48" s="22">
        <f t="shared" si="4"/>
        <v>1</v>
      </c>
      <c r="Q48" s="22">
        <f t="shared" si="5"/>
        <v>4</v>
      </c>
      <c r="R48" s="22">
        <f t="shared" si="6"/>
        <v>1</v>
      </c>
      <c r="S48" s="22">
        <f t="shared" si="7"/>
        <v>1</v>
      </c>
      <c r="T48" s="40" t="e">
        <f>IF(#REF!=4, RANK(H48,H$8:H$82,1)+COUNTIF($H$8:H48,H48)-1, IF(#REF!=3, RANK(G48,G$8:G$82,1)+COUNTIF($G$8:G48,G48)-1, IF(#REF!=2, RANK(F48,F$8:F$82,1)+COUNTIF($F$8:F48,F48)-1, IF(#REF!=1, RANK(E48,E$8:E$82,1)+COUNTIF($E$8:E48,E48)-1))))</f>
        <v>#REF!</v>
      </c>
      <c r="U48" s="28" t="e">
        <f>IF(#REF!=4, H48, IF(#REF!=3, G48, IF(#REF!=2, F48, IF(#REF!=1, E48))))</f>
        <v>#REF!</v>
      </c>
      <c r="V48">
        <f t="shared" si="8"/>
        <v>18</v>
      </c>
    </row>
    <row r="49" spans="1:22" x14ac:dyDescent="0.25">
      <c r="A49" t="s">
        <v>109</v>
      </c>
      <c r="B49" t="s">
        <v>110</v>
      </c>
      <c r="C49" s="5">
        <v>42</v>
      </c>
      <c r="D49" s="5">
        <v>21</v>
      </c>
      <c r="E49" s="49">
        <v>0.66666669999999995</v>
      </c>
      <c r="F49" s="49">
        <v>0.97619040000000001</v>
      </c>
      <c r="G49" s="49">
        <v>0.68421050000000005</v>
      </c>
      <c r="H49" s="49">
        <v>0.66666669999999995</v>
      </c>
      <c r="I49" s="51">
        <f t="shared" si="2"/>
        <v>21</v>
      </c>
      <c r="J49" s="49">
        <v>0.5</v>
      </c>
      <c r="K49" s="49">
        <v>0.5</v>
      </c>
      <c r="L49" s="5" t="s">
        <v>187</v>
      </c>
      <c r="M49" s="5" t="s">
        <v>305</v>
      </c>
      <c r="N49" s="50">
        <v>1.99312</v>
      </c>
      <c r="O49" t="str">
        <f t="shared" si="3"/>
        <v>RX1</v>
      </c>
      <c r="P49" s="22">
        <f t="shared" si="4"/>
        <v>1</v>
      </c>
      <c r="Q49" s="22">
        <f t="shared" si="5"/>
        <v>2</v>
      </c>
      <c r="R49" s="22">
        <f t="shared" si="6"/>
        <v>1</v>
      </c>
      <c r="S49" s="22">
        <f t="shared" si="7"/>
        <v>1</v>
      </c>
      <c r="T49" s="40" t="e">
        <f>IF(#REF!=4, RANK(H49,H$8:H$82,1)+COUNTIF($H$8:H49,H49)-1, IF(#REF!=3, RANK(G49,G$8:G$82,1)+COUNTIF($G$8:G49,G49)-1, IF(#REF!=2, RANK(F49,F$8:F$82,1)+COUNTIF($F$8:F49,F49)-1, IF(#REF!=1, RANK(E49,E$8:E$82,1)+COUNTIF($E$8:E49,E49)-1))))</f>
        <v>#REF!</v>
      </c>
      <c r="U49" s="28" t="e">
        <f>IF(#REF!=4, H49, IF(#REF!=3, G49, IF(#REF!=2, F49, IF(#REF!=1, E49))))</f>
        <v>#REF!</v>
      </c>
      <c r="V49">
        <f t="shared" si="8"/>
        <v>48</v>
      </c>
    </row>
    <row r="50" spans="1:22" x14ac:dyDescent="0.25">
      <c r="A50" t="s">
        <v>88</v>
      </c>
      <c r="B50" t="s">
        <v>298</v>
      </c>
      <c r="C50" s="5">
        <v>45</v>
      </c>
      <c r="D50" s="5">
        <v>17</v>
      </c>
      <c r="E50" s="49">
        <v>0.95555559999999995</v>
      </c>
      <c r="F50" s="49">
        <v>1</v>
      </c>
      <c r="G50" s="49">
        <v>0.95238100000000003</v>
      </c>
      <c r="H50" s="49">
        <v>0.93333330000000003</v>
      </c>
      <c r="I50" s="51">
        <f t="shared" si="2"/>
        <v>28</v>
      </c>
      <c r="J50" s="49">
        <v>0.37777777777777777</v>
      </c>
      <c r="K50" s="49">
        <v>0.62222222222222223</v>
      </c>
      <c r="L50" s="5" t="s">
        <v>187</v>
      </c>
      <c r="M50" s="5" t="s">
        <v>211</v>
      </c>
      <c r="N50" s="50">
        <v>0</v>
      </c>
      <c r="O50" t="str">
        <f t="shared" si="3"/>
        <v>RTH</v>
      </c>
      <c r="P50" s="22">
        <f t="shared" si="4"/>
        <v>2</v>
      </c>
      <c r="Q50" s="22">
        <f t="shared" si="5"/>
        <v>4</v>
      </c>
      <c r="R50" s="22">
        <f t="shared" si="6"/>
        <v>2</v>
      </c>
      <c r="S50" s="22">
        <f t="shared" si="7"/>
        <v>3</v>
      </c>
      <c r="T50" s="40" t="e">
        <f>IF(#REF!=4, RANK(H50,H$8:H$82,1)+COUNTIF($H$8:H50,H50)-1, IF(#REF!=3, RANK(G50,G$8:G$82,1)+COUNTIF($G$8:G50,G50)-1, IF(#REF!=2, RANK(F50,F$8:F$82,1)+COUNTIF($F$8:F50,F50)-1, IF(#REF!=1, RANK(E50,E$8:E$82,1)+COUNTIF($E$8:E50,E50)-1))))</f>
        <v>#REF!</v>
      </c>
      <c r="U50" s="28" t="e">
        <f>IF(#REF!=4, H50, IF(#REF!=3, G50, IF(#REF!=2, F50, IF(#REF!=1, E50))))</f>
        <v>#REF!</v>
      </c>
      <c r="V50">
        <f t="shared" si="8"/>
        <v>61</v>
      </c>
    </row>
    <row r="51" spans="1:22" x14ac:dyDescent="0.25">
      <c r="A51" s="5" t="s">
        <v>429</v>
      </c>
      <c r="B51" s="74" t="s">
        <v>430</v>
      </c>
      <c r="C51" s="5">
        <v>45</v>
      </c>
      <c r="D51" s="5">
        <v>35</v>
      </c>
      <c r="E51" s="49">
        <v>1</v>
      </c>
      <c r="F51" s="49">
        <v>1</v>
      </c>
      <c r="G51" s="49">
        <v>1</v>
      </c>
      <c r="H51" s="49">
        <v>1</v>
      </c>
      <c r="I51" s="51">
        <f t="shared" si="2"/>
        <v>10</v>
      </c>
      <c r="J51" s="49">
        <v>0.77777777777777779</v>
      </c>
      <c r="K51" s="49">
        <v>0.22222222222222221</v>
      </c>
      <c r="L51" s="5" t="s">
        <v>172</v>
      </c>
      <c r="M51" s="5" t="s">
        <v>212</v>
      </c>
      <c r="N51" s="50">
        <v>0.59163999999999994</v>
      </c>
      <c r="O51" t="str">
        <f t="shared" si="3"/>
        <v>RM3</v>
      </c>
      <c r="P51" s="22">
        <f t="shared" si="4"/>
        <v>4</v>
      </c>
      <c r="Q51" s="22">
        <f t="shared" si="5"/>
        <v>4</v>
      </c>
      <c r="R51" s="22">
        <f t="shared" si="6"/>
        <v>4</v>
      </c>
      <c r="S51" s="22">
        <f t="shared" si="7"/>
        <v>4</v>
      </c>
      <c r="T51" s="40" t="e">
        <f>IF(#REF!=4, RANK(H51,H$8:H$82,1)+COUNTIF($H$8:H51,H51)-1, IF(#REF!=3, RANK(G51,G$8:G$82,1)+COUNTIF($G$8:G51,G51)-1, IF(#REF!=2, RANK(F51,F$8:F$82,1)+COUNTIF($F$8:F51,F51)-1, IF(#REF!=1, RANK(E51,E$8:E$82,1)+COUNTIF($E$8:E51,E51)-1))))</f>
        <v>#REF!</v>
      </c>
      <c r="U51" s="28" t="e">
        <f>IF(#REF!=4, H51, IF(#REF!=3, G51, IF(#REF!=2, F51, IF(#REF!=1, E51))))</f>
        <v>#REF!</v>
      </c>
      <c r="V51">
        <f t="shared" si="8"/>
        <v>14</v>
      </c>
    </row>
    <row r="52" spans="1:22" x14ac:dyDescent="0.25">
      <c r="A52" t="s">
        <v>71</v>
      </c>
      <c r="B52" t="s">
        <v>72</v>
      </c>
      <c r="C52" s="5">
        <v>11</v>
      </c>
      <c r="D52" s="5">
        <v>6</v>
      </c>
      <c r="E52" s="49">
        <v>1</v>
      </c>
      <c r="F52" s="49">
        <v>0.90909090000000004</v>
      </c>
      <c r="G52" s="49">
        <v>1</v>
      </c>
      <c r="H52" s="49">
        <v>1</v>
      </c>
      <c r="I52" s="51">
        <f t="shared" si="2"/>
        <v>5</v>
      </c>
      <c r="J52" s="49">
        <v>0.54545454545454541</v>
      </c>
      <c r="K52" s="49">
        <v>0.45454545454545453</v>
      </c>
      <c r="L52" s="5" t="s">
        <v>186</v>
      </c>
      <c r="M52" s="5" t="s">
        <v>354</v>
      </c>
      <c r="N52" s="50">
        <v>0</v>
      </c>
      <c r="O52" t="str">
        <f t="shared" si="3"/>
        <v>RQW</v>
      </c>
      <c r="P52" s="22">
        <f t="shared" si="4"/>
        <v>4</v>
      </c>
      <c r="Q52" s="22">
        <f t="shared" si="5"/>
        <v>1</v>
      </c>
      <c r="R52" s="22">
        <f t="shared" si="6"/>
        <v>4</v>
      </c>
      <c r="S52" s="22">
        <f t="shared" si="7"/>
        <v>4</v>
      </c>
      <c r="T52" s="40" t="e">
        <f>IF(#REF!=4, RANK(H52,H$8:H$82,1)+COUNTIF($H$8:H52,H52)-1, IF(#REF!=3, RANK(G52,G$8:G$82,1)+COUNTIF($G$8:G52,G52)-1, IF(#REF!=2, RANK(F52,F$8:F$82,1)+COUNTIF($F$8:F52,F52)-1, IF(#REF!=1, RANK(E52,E$8:E$82,1)+COUNTIF($E$8:E52,E52)-1))))</f>
        <v>#REF!</v>
      </c>
      <c r="U52" s="28" t="e">
        <f>IF(#REF!=4, H52, IF(#REF!=3, G52, IF(#REF!=2, F52, IF(#REF!=1, E52))))</f>
        <v>#REF!</v>
      </c>
      <c r="V52">
        <f t="shared" si="8"/>
        <v>43</v>
      </c>
    </row>
    <row r="53" spans="1:22" x14ac:dyDescent="0.25">
      <c r="A53" t="s">
        <v>81</v>
      </c>
      <c r="B53" t="s">
        <v>82</v>
      </c>
      <c r="C53" s="5" t="s">
        <v>226</v>
      </c>
      <c r="D53" s="5" t="s">
        <v>226</v>
      </c>
      <c r="E53" s="49">
        <v>1</v>
      </c>
      <c r="F53" s="49">
        <v>1</v>
      </c>
      <c r="G53" s="49">
        <v>1</v>
      </c>
      <c r="H53" s="49">
        <v>1</v>
      </c>
      <c r="I53" s="51" t="e">
        <f t="shared" si="2"/>
        <v>#VALUE!</v>
      </c>
      <c r="J53" s="49">
        <v>1</v>
      </c>
      <c r="K53" s="49">
        <v>0</v>
      </c>
      <c r="L53" s="5" t="s">
        <v>227</v>
      </c>
      <c r="M53" s="5" t="s">
        <v>220</v>
      </c>
      <c r="N53" s="50">
        <v>0</v>
      </c>
      <c r="O53" t="str">
        <f t="shared" si="3"/>
        <v>RT3</v>
      </c>
      <c r="P53" s="22">
        <f t="shared" si="4"/>
        <v>4</v>
      </c>
      <c r="Q53" s="22">
        <f t="shared" si="5"/>
        <v>4</v>
      </c>
      <c r="R53" s="22">
        <f t="shared" si="6"/>
        <v>4</v>
      </c>
      <c r="S53" s="22">
        <f t="shared" si="7"/>
        <v>4</v>
      </c>
      <c r="T53" s="40" t="e">
        <f>IF(#REF!=4, RANK(H53,H$8:H$82,1)+COUNTIF($H$8:H53,H53)-1, IF(#REF!=3, RANK(G53,G$8:G$82,1)+COUNTIF($G$8:G53,G53)-1, IF(#REF!=2, RANK(F53,F$8:F$82,1)+COUNTIF($F$8:F53,F53)-1, IF(#REF!=1, RANK(E53,E$8:E$82,1)+COUNTIF($E$8:E53,E53)-1))))</f>
        <v>#REF!</v>
      </c>
      <c r="U53" s="28" t="e">
        <f>IF(#REF!=4, H53, IF(#REF!=3, G53, IF(#REF!=2, F53, IF(#REF!=1, E53))))</f>
        <v>#REF!</v>
      </c>
      <c r="V53">
        <f t="shared" si="8"/>
        <v>1</v>
      </c>
    </row>
    <row r="54" spans="1:22" x14ac:dyDescent="0.25">
      <c r="A54" t="s">
        <v>27</v>
      </c>
      <c r="B54" t="s">
        <v>28</v>
      </c>
      <c r="C54" s="5">
        <v>13</v>
      </c>
      <c r="D54" s="5">
        <v>7</v>
      </c>
      <c r="E54" s="49">
        <v>0.92307689999999998</v>
      </c>
      <c r="F54" s="49">
        <v>1</v>
      </c>
      <c r="G54" s="49">
        <v>0.90909090000000004</v>
      </c>
      <c r="H54" s="49">
        <v>0.92307689999999998</v>
      </c>
      <c r="I54" s="51">
        <f t="shared" si="2"/>
        <v>6</v>
      </c>
      <c r="J54" s="49">
        <v>0.53846153846153844</v>
      </c>
      <c r="K54" s="49">
        <v>0.46153846153846156</v>
      </c>
      <c r="L54" s="5" t="s">
        <v>183</v>
      </c>
      <c r="M54" s="5" t="s">
        <v>346</v>
      </c>
      <c r="N54" s="50">
        <v>0</v>
      </c>
      <c r="O54" t="str">
        <f t="shared" si="3"/>
        <v>REF</v>
      </c>
      <c r="P54" s="22">
        <f t="shared" si="4"/>
        <v>2</v>
      </c>
      <c r="Q54" s="22">
        <f t="shared" si="5"/>
        <v>4</v>
      </c>
      <c r="R54" s="22">
        <f t="shared" si="6"/>
        <v>2</v>
      </c>
      <c r="S54" s="22">
        <f t="shared" si="7"/>
        <v>3</v>
      </c>
      <c r="T54" s="40" t="e">
        <f>IF(#REF!=4, RANK(H54,H$8:H$82,1)+COUNTIF($H$8:H54,H54)-1, IF(#REF!=3, RANK(G54,G$8:G$82,1)+COUNTIF($G$8:G54,G54)-1, IF(#REF!=2, RANK(F54,F$8:F$82,1)+COUNTIF($F$8:F54,F54)-1, IF(#REF!=1, RANK(E54,E$8:E$82,1)+COUNTIF($E$8:E54,E54)-1))))</f>
        <v>#REF!</v>
      </c>
      <c r="U54" s="28" t="e">
        <f>IF(#REF!=4, H54, IF(#REF!=3, G54, IF(#REF!=2, F54, IF(#REF!=1, E54))))</f>
        <v>#REF!</v>
      </c>
      <c r="V54">
        <f t="shared" si="8"/>
        <v>45</v>
      </c>
    </row>
    <row r="55" spans="1:22" x14ac:dyDescent="0.25">
      <c r="A55" t="s">
        <v>37</v>
      </c>
      <c r="B55" t="s">
        <v>38</v>
      </c>
      <c r="C55" s="5">
        <v>33</v>
      </c>
      <c r="D55" s="5">
        <v>7</v>
      </c>
      <c r="E55" s="49">
        <v>1</v>
      </c>
      <c r="F55" s="49">
        <v>0.96969700000000003</v>
      </c>
      <c r="G55" s="49">
        <v>1</v>
      </c>
      <c r="H55" s="49">
        <v>0.96969700000000003</v>
      </c>
      <c r="I55" s="51">
        <f t="shared" si="2"/>
        <v>26</v>
      </c>
      <c r="J55" s="49">
        <v>0.21212121212121213</v>
      </c>
      <c r="K55" s="49">
        <v>0.78787878787878785</v>
      </c>
      <c r="L55" s="5" t="s">
        <v>183</v>
      </c>
      <c r="M55" s="5" t="s">
        <v>270</v>
      </c>
      <c r="N55" s="50">
        <v>3.7597300000000002</v>
      </c>
      <c r="O55" t="str">
        <f t="shared" si="3"/>
        <v>RH8</v>
      </c>
      <c r="P55" s="22">
        <f t="shared" si="4"/>
        <v>4</v>
      </c>
      <c r="Q55" s="22">
        <f t="shared" si="5"/>
        <v>2</v>
      </c>
      <c r="R55" s="22">
        <f t="shared" si="6"/>
        <v>4</v>
      </c>
      <c r="S55" s="22">
        <f t="shared" si="7"/>
        <v>3</v>
      </c>
      <c r="T55" s="40" t="e">
        <f>IF(#REF!=4, RANK(H55,H$8:H$82,1)+COUNTIF($H$8:H55,H55)-1, IF(#REF!=3, RANK(G55,G$8:G$82,1)+COUNTIF($G$8:G55,G55)-1, IF(#REF!=2, RANK(F55,F$8:F$82,1)+COUNTIF($F$8:F55,F55)-1, IF(#REF!=1, RANK(E55,E$8:E$82,1)+COUNTIF($E$8:E55,E55)-1))))</f>
        <v>#REF!</v>
      </c>
      <c r="U55" s="28" t="e">
        <f>IF(#REF!=4, H55, IF(#REF!=3, G55, IF(#REF!=2, F55, IF(#REF!=1, E55))))</f>
        <v>#REF!</v>
      </c>
      <c r="V55">
        <f t="shared" si="8"/>
        <v>66</v>
      </c>
    </row>
    <row r="56" spans="1:22" x14ac:dyDescent="0.25">
      <c r="A56" t="s">
        <v>18</v>
      </c>
      <c r="B56" t="s">
        <v>19</v>
      </c>
      <c r="C56" s="5">
        <v>30</v>
      </c>
      <c r="D56" s="5">
        <v>18</v>
      </c>
      <c r="E56" s="49">
        <v>0.56666669999999997</v>
      </c>
      <c r="F56" s="49">
        <v>0.96666660000000004</v>
      </c>
      <c r="G56" s="49">
        <v>0.61904760000000003</v>
      </c>
      <c r="H56" s="49">
        <v>0.46666669999999999</v>
      </c>
      <c r="I56" s="51">
        <f t="shared" si="2"/>
        <v>12</v>
      </c>
      <c r="J56" s="49">
        <v>0.6</v>
      </c>
      <c r="K56" s="49">
        <v>0.4</v>
      </c>
      <c r="L56" s="5" t="s">
        <v>185</v>
      </c>
      <c r="M56" s="5" t="s">
        <v>167</v>
      </c>
      <c r="N56" s="50">
        <v>0</v>
      </c>
      <c r="O56" t="str">
        <f t="shared" si="3"/>
        <v>RAL</v>
      </c>
      <c r="P56" s="22">
        <f t="shared" si="4"/>
        <v>1</v>
      </c>
      <c r="Q56" s="22">
        <f t="shared" si="5"/>
        <v>2</v>
      </c>
      <c r="R56" s="22">
        <f t="shared" si="6"/>
        <v>1</v>
      </c>
      <c r="S56" s="22">
        <f t="shared" si="7"/>
        <v>1</v>
      </c>
      <c r="T56" s="40" t="e">
        <f>IF(#REF!=4, RANK(H56,H$8:H$82,1)+COUNTIF($H$8:H56,H56)-1, IF(#REF!=3, RANK(G56,G$8:G$82,1)+COUNTIF($G$8:G56,G56)-1, IF(#REF!=2, RANK(F56,F$8:F$82,1)+COUNTIF($F$8:F56,F56)-1, IF(#REF!=1, RANK(E56,E$8:E$82,1)+COUNTIF($E$8:E56,E56)-1))))</f>
        <v>#REF!</v>
      </c>
      <c r="U56" s="28" t="e">
        <f>IF(#REF!=4, H56, IF(#REF!=3, G56, IF(#REF!=2, F56, IF(#REF!=1, E56))))</f>
        <v>#REF!</v>
      </c>
      <c r="V56">
        <f t="shared" si="8"/>
        <v>32</v>
      </c>
    </row>
    <row r="57" spans="1:22" x14ac:dyDescent="0.25">
      <c r="A57" t="s">
        <v>41</v>
      </c>
      <c r="B57" t="s">
        <v>42</v>
      </c>
      <c r="C57" s="5">
        <v>36</v>
      </c>
      <c r="D57" s="5">
        <v>15</v>
      </c>
      <c r="E57" s="49">
        <v>0.80555560000000004</v>
      </c>
      <c r="F57" s="49">
        <v>1</v>
      </c>
      <c r="G57" s="49">
        <v>0.84848489999999999</v>
      </c>
      <c r="H57" s="49">
        <v>0.75</v>
      </c>
      <c r="I57" s="51">
        <f t="shared" si="2"/>
        <v>21</v>
      </c>
      <c r="J57" s="49">
        <v>0.41666666666666669</v>
      </c>
      <c r="K57" s="49">
        <v>0.58333333333333337</v>
      </c>
      <c r="L57" s="5" t="s">
        <v>189</v>
      </c>
      <c r="M57" s="5" t="s">
        <v>315</v>
      </c>
      <c r="N57" s="50">
        <v>1.6870199999999997</v>
      </c>
      <c r="O57" t="str">
        <f t="shared" si="3"/>
        <v>RHQ</v>
      </c>
      <c r="P57" s="22">
        <f t="shared" si="4"/>
        <v>1</v>
      </c>
      <c r="Q57" s="22">
        <f t="shared" si="5"/>
        <v>4</v>
      </c>
      <c r="R57" s="22">
        <f t="shared" si="6"/>
        <v>1</v>
      </c>
      <c r="S57" s="22">
        <f t="shared" si="7"/>
        <v>1</v>
      </c>
      <c r="T57" s="40" t="e">
        <f>IF(#REF!=4, RANK(H57,H$8:H$82,1)+COUNTIF($H$8:H57,H57)-1, IF(#REF!=3, RANK(G57,G$8:G$82,1)+COUNTIF($G$8:G57,G57)-1, IF(#REF!=2, RANK(F57,F$8:F$82,1)+COUNTIF($F$8:F57,F57)-1, IF(#REF!=1, RANK(E57,E$8:E$82,1)+COUNTIF($E$8:E57,E57)-1))))</f>
        <v>#REF!</v>
      </c>
      <c r="U57" s="28" t="e">
        <f>IF(#REF!=4, H57, IF(#REF!=3, G57, IF(#REF!=2, F57, IF(#REF!=1, E57))))</f>
        <v>#REF!</v>
      </c>
      <c r="V57">
        <f t="shared" si="8"/>
        <v>57</v>
      </c>
    </row>
    <row r="58" spans="1:22" x14ac:dyDescent="0.25">
      <c r="A58" t="s">
        <v>117</v>
      </c>
      <c r="B58" t="s">
        <v>118</v>
      </c>
      <c r="C58" s="5">
        <v>25</v>
      </c>
      <c r="D58" s="5">
        <v>16</v>
      </c>
      <c r="E58" s="49">
        <v>0.88</v>
      </c>
      <c r="F58" s="49">
        <v>1</v>
      </c>
      <c r="G58" s="49">
        <v>0.86956520000000004</v>
      </c>
      <c r="H58" s="49">
        <v>0.8</v>
      </c>
      <c r="I58" s="51">
        <f t="shared" si="2"/>
        <v>9</v>
      </c>
      <c r="J58" s="49">
        <v>0.64</v>
      </c>
      <c r="K58" s="49">
        <v>0.36</v>
      </c>
      <c r="L58" s="5" t="s">
        <v>202</v>
      </c>
      <c r="M58" s="5" t="s">
        <v>268</v>
      </c>
      <c r="N58" s="50">
        <v>0</v>
      </c>
      <c r="O58" t="str">
        <f t="shared" si="3"/>
        <v>RXW</v>
      </c>
      <c r="P58" s="22">
        <f t="shared" si="4"/>
        <v>2</v>
      </c>
      <c r="Q58" s="22">
        <f t="shared" si="5"/>
        <v>4</v>
      </c>
      <c r="R58" s="22">
        <f t="shared" si="6"/>
        <v>1</v>
      </c>
      <c r="S58" s="22">
        <f t="shared" si="7"/>
        <v>1</v>
      </c>
      <c r="T58" s="40" t="e">
        <f>IF(#REF!=4, RANK(H58,H$8:H$82,1)+COUNTIF($H$8:H58,H58)-1, IF(#REF!=3, RANK(G58,G$8:G$82,1)+COUNTIF($G$8:G58,G58)-1, IF(#REF!=2, RANK(F58,F$8:F$82,1)+COUNTIF($F$8:F58,F58)-1, IF(#REF!=1, RANK(E58,E$8:E$82,1)+COUNTIF($E$8:E58,E58)-1))))</f>
        <v>#REF!</v>
      </c>
      <c r="U58" s="28" t="e">
        <f>IF(#REF!=4, H58, IF(#REF!=3, G58, IF(#REF!=2, F58, IF(#REF!=1, E58))))</f>
        <v>#REF!</v>
      </c>
      <c r="V58">
        <f t="shared" si="8"/>
        <v>27</v>
      </c>
    </row>
    <row r="59" spans="1:22" x14ac:dyDescent="0.25">
      <c r="A59" t="s">
        <v>348</v>
      </c>
      <c r="B59" t="s">
        <v>349</v>
      </c>
      <c r="C59" s="5">
        <v>41</v>
      </c>
      <c r="D59" s="5">
        <v>25</v>
      </c>
      <c r="E59" s="49">
        <v>0.97560979999999997</v>
      </c>
      <c r="F59" s="49">
        <v>1</v>
      </c>
      <c r="G59" s="49">
        <v>0.9736842</v>
      </c>
      <c r="H59" s="49">
        <v>0.9512195</v>
      </c>
      <c r="I59" s="51">
        <f t="shared" si="2"/>
        <v>16</v>
      </c>
      <c r="J59" s="49">
        <v>0.6097560975609756</v>
      </c>
      <c r="K59" s="49">
        <v>0.3902439024390244</v>
      </c>
      <c r="L59" s="5" t="s">
        <v>189</v>
      </c>
      <c r="M59" s="5" t="s">
        <v>211</v>
      </c>
      <c r="N59" s="50">
        <v>1.2514099999999999</v>
      </c>
      <c r="O59" t="str">
        <f t="shared" si="3"/>
        <v>RH5</v>
      </c>
      <c r="P59" s="22">
        <f t="shared" si="4"/>
        <v>3</v>
      </c>
      <c r="Q59" s="22">
        <f t="shared" si="5"/>
        <v>4</v>
      </c>
      <c r="R59" s="22">
        <f t="shared" si="6"/>
        <v>3</v>
      </c>
      <c r="S59" s="22">
        <f t="shared" si="7"/>
        <v>3</v>
      </c>
      <c r="T59" s="40" t="e">
        <f>IF(#REF!=4, RANK(H59,H$8:H$82,1)+COUNTIF($H$8:H59,H59)-1, IF(#REF!=3, RANK(G59,G$8:G$82,1)+COUNTIF($G$8:G59,G59)-1, IF(#REF!=2, RANK(F59,F$8:F$82,1)+COUNTIF($F$8:F59,F59)-1, IF(#REF!=1, RANK(E59,E$8:E$82,1)+COUNTIF($E$8:E59,E59)-1))))</f>
        <v>#REF!</v>
      </c>
      <c r="U59" s="28" t="e">
        <f>IF(#REF!=4, H59, IF(#REF!=3, G59, IF(#REF!=2, F59, IF(#REF!=1, E59))))</f>
        <v>#REF!</v>
      </c>
      <c r="V59">
        <f t="shared" si="8"/>
        <v>30</v>
      </c>
    </row>
    <row r="60" spans="1:22" x14ac:dyDescent="0.25">
      <c r="A60" t="s">
        <v>90</v>
      </c>
      <c r="B60" t="s">
        <v>91</v>
      </c>
      <c r="C60" s="5">
        <v>23</v>
      </c>
      <c r="D60" s="5">
        <v>14</v>
      </c>
      <c r="E60" s="49">
        <v>0.95652170000000003</v>
      </c>
      <c r="F60" s="49">
        <v>0.95652170000000003</v>
      </c>
      <c r="G60" s="49">
        <v>0.95238100000000003</v>
      </c>
      <c r="H60" s="49">
        <v>1</v>
      </c>
      <c r="I60" s="51">
        <f t="shared" si="2"/>
        <v>9</v>
      </c>
      <c r="J60" s="49">
        <v>0.60869565217391308</v>
      </c>
      <c r="K60" s="49">
        <v>0.39130434782608697</v>
      </c>
      <c r="L60" s="5" t="s">
        <v>189</v>
      </c>
      <c r="M60" s="5" t="s">
        <v>201</v>
      </c>
      <c r="N60" s="50">
        <v>0.86736000000000002</v>
      </c>
      <c r="O60" t="str">
        <f t="shared" si="3"/>
        <v>RTR</v>
      </c>
      <c r="P60" s="22">
        <f t="shared" si="4"/>
        <v>2</v>
      </c>
      <c r="Q60" s="22">
        <f t="shared" si="5"/>
        <v>1</v>
      </c>
      <c r="R60" s="22">
        <f t="shared" si="6"/>
        <v>2</v>
      </c>
      <c r="S60" s="22">
        <f t="shared" si="7"/>
        <v>4</v>
      </c>
      <c r="T60" s="40" t="e">
        <f>IF(#REF!=4, RANK(H60,H$8:H$82,1)+COUNTIF($H$8:H60,H60)-1, IF(#REF!=3, RANK(G60,G$8:G$82,1)+COUNTIF($G$8:G60,G60)-1, IF(#REF!=2, RANK(F60,F$8:F$82,1)+COUNTIF($F$8:F60,F60)-1, IF(#REF!=1, RANK(E60,E$8:E$82,1)+COUNTIF($E$8:E60,E60)-1))))</f>
        <v>#REF!</v>
      </c>
      <c r="U60" s="28" t="e">
        <f>IF(#REF!=4, H60, IF(#REF!=3, G60, IF(#REF!=2, F60, IF(#REF!=1, E60))))</f>
        <v>#REF!</v>
      </c>
      <c r="V60">
        <f t="shared" si="8"/>
        <v>31</v>
      </c>
    </row>
    <row r="61" spans="1:22" x14ac:dyDescent="0.25">
      <c r="A61" t="s">
        <v>333</v>
      </c>
      <c r="B61" t="s">
        <v>334</v>
      </c>
      <c r="C61" s="5">
        <v>39</v>
      </c>
      <c r="D61" s="5">
        <v>31</v>
      </c>
      <c r="E61" s="49">
        <v>0.97435899999999998</v>
      </c>
      <c r="F61" s="49">
        <v>0.97435899999999998</v>
      </c>
      <c r="G61" s="49">
        <v>0.9736842</v>
      </c>
      <c r="H61" s="49">
        <v>0.92307689999999998</v>
      </c>
      <c r="I61" s="51">
        <f t="shared" si="2"/>
        <v>8</v>
      </c>
      <c r="J61" s="49">
        <v>0.79487179487179482</v>
      </c>
      <c r="K61" s="49">
        <v>0.20512820512820512</v>
      </c>
      <c r="L61" s="5" t="s">
        <v>187</v>
      </c>
      <c r="M61" s="5" t="s">
        <v>335</v>
      </c>
      <c r="N61" s="50">
        <v>1.6600899999999998</v>
      </c>
      <c r="O61" t="str">
        <f t="shared" si="3"/>
        <v>R0B</v>
      </c>
      <c r="P61" s="22">
        <f t="shared" si="4"/>
        <v>3</v>
      </c>
      <c r="Q61" s="22">
        <f t="shared" si="5"/>
        <v>2</v>
      </c>
      <c r="R61" s="22">
        <f t="shared" si="6"/>
        <v>3</v>
      </c>
      <c r="S61" s="22">
        <f t="shared" si="7"/>
        <v>3</v>
      </c>
      <c r="T61" s="40" t="e">
        <f>IF(#REF!=4, RANK(H61,H$8:H$82,1)+COUNTIF($H$8:H61,H61)-1, IF(#REF!=3, RANK(G61,G$8:G$82,1)+COUNTIF($G$8:G61,G61)-1, IF(#REF!=2, RANK(F61,F$8:F$82,1)+COUNTIF($F$8:F61,F61)-1, IF(#REF!=1, RANK(E61,E$8:E$82,1)+COUNTIF($E$8:E61,E61)-1))))</f>
        <v>#REF!</v>
      </c>
      <c r="U61" s="28" t="e">
        <f>IF(#REF!=4, H61, IF(#REF!=3, G61, IF(#REF!=2, F61, IF(#REF!=1, E61))))</f>
        <v>#REF!</v>
      </c>
      <c r="V61">
        <f t="shared" si="8"/>
        <v>12</v>
      </c>
    </row>
    <row r="62" spans="1:22" x14ac:dyDescent="0.25">
      <c r="A62" t="s">
        <v>47</v>
      </c>
      <c r="B62" t="s">
        <v>48</v>
      </c>
      <c r="C62" s="5">
        <v>41</v>
      </c>
      <c r="D62" s="5">
        <v>36</v>
      </c>
      <c r="E62" s="49">
        <v>0.82926829999999996</v>
      </c>
      <c r="F62" s="49">
        <v>1</v>
      </c>
      <c r="G62" s="49">
        <v>0.88888889999999998</v>
      </c>
      <c r="H62" s="49">
        <v>0.82926829999999996</v>
      </c>
      <c r="I62" s="51">
        <f t="shared" si="2"/>
        <v>5</v>
      </c>
      <c r="J62" s="49">
        <v>0.87804878048780488</v>
      </c>
      <c r="K62" s="49">
        <v>0.12195121951219512</v>
      </c>
      <c r="L62" s="5" t="s">
        <v>187</v>
      </c>
      <c r="M62" s="5" t="s">
        <v>351</v>
      </c>
      <c r="N62" s="50">
        <v>0</v>
      </c>
      <c r="O62" t="str">
        <f t="shared" si="3"/>
        <v>RJ7</v>
      </c>
      <c r="P62" s="22">
        <f t="shared" si="4"/>
        <v>1</v>
      </c>
      <c r="Q62" s="22">
        <f t="shared" si="5"/>
        <v>4</v>
      </c>
      <c r="R62" s="22">
        <f t="shared" si="6"/>
        <v>2</v>
      </c>
      <c r="S62" s="22">
        <f t="shared" si="7"/>
        <v>2</v>
      </c>
      <c r="T62" s="40" t="e">
        <f>IF(#REF!=4, RANK(H62,H$8:H$82,1)+COUNTIF($H$8:H62,H62)-1, IF(#REF!=3, RANK(G62,G$8:G$82,1)+COUNTIF($G$8:G62,G62)-1, IF(#REF!=2, RANK(F62,F$8:F$82,1)+COUNTIF($F$8:F62,F62)-1, IF(#REF!=1, RANK(E62,E$8:E$82,1)+COUNTIF($E$8:E62,E62)-1))))</f>
        <v>#REF!</v>
      </c>
      <c r="U62" s="28" t="e">
        <f>IF(#REF!=4, H62, IF(#REF!=3, G62, IF(#REF!=2, F62, IF(#REF!=1, E62))))</f>
        <v>#REF!</v>
      </c>
      <c r="V62">
        <f t="shared" si="8"/>
        <v>6</v>
      </c>
    </row>
    <row r="63" spans="1:22" x14ac:dyDescent="0.25">
      <c r="A63" t="s">
        <v>2</v>
      </c>
      <c r="B63" t="s">
        <v>158</v>
      </c>
      <c r="C63" s="5">
        <v>27</v>
      </c>
      <c r="D63" s="5">
        <v>11</v>
      </c>
      <c r="E63" s="49">
        <v>1</v>
      </c>
      <c r="F63" s="49">
        <v>0.96296300000000001</v>
      </c>
      <c r="G63" s="49">
        <v>1</v>
      </c>
      <c r="H63" s="49">
        <v>0.96296300000000001</v>
      </c>
      <c r="I63" s="51">
        <f t="shared" si="2"/>
        <v>16</v>
      </c>
      <c r="J63" s="49">
        <v>0.40740740740740738</v>
      </c>
      <c r="K63" s="49">
        <v>0.59259259259259256</v>
      </c>
      <c r="L63" s="5" t="s">
        <v>183</v>
      </c>
      <c r="M63" s="5" t="s">
        <v>212</v>
      </c>
      <c r="N63" s="50">
        <v>4.7336900000000002</v>
      </c>
      <c r="O63" t="str">
        <f t="shared" si="3"/>
        <v>7A3</v>
      </c>
      <c r="P63" s="22">
        <f t="shared" si="4"/>
        <v>4</v>
      </c>
      <c r="Q63" s="22">
        <f t="shared" si="5"/>
        <v>1</v>
      </c>
      <c r="R63" s="22">
        <f t="shared" si="6"/>
        <v>4</v>
      </c>
      <c r="S63" s="22">
        <f t="shared" si="7"/>
        <v>3</v>
      </c>
      <c r="T63" s="40" t="e">
        <f>IF(#REF!=4, RANK(H63,H$8:H$82,1)+COUNTIF($H$8:H63,H63)-1, IF(#REF!=3, RANK(G63,G$8:G$82,1)+COUNTIF($G$8:G63,G63)-1, IF(#REF!=2, RANK(F63,F$8:F$82,1)+COUNTIF($F$8:F63,F63)-1, IF(#REF!=1, RANK(E63,E$8:E$82,1)+COUNTIF($E$8:E63,E63)-1))))</f>
        <v>#REF!</v>
      </c>
      <c r="U63" s="28" t="e">
        <f>IF(#REF!=4, H63, IF(#REF!=3, G63, IF(#REF!=2, F63, IF(#REF!=1, E63))))</f>
        <v>#REF!</v>
      </c>
      <c r="V63">
        <f t="shared" si="8"/>
        <v>59</v>
      </c>
    </row>
    <row r="64" spans="1:22" x14ac:dyDescent="0.25">
      <c r="A64" t="s">
        <v>64</v>
      </c>
      <c r="B64" t="s">
        <v>65</v>
      </c>
      <c r="C64" s="5">
        <v>27</v>
      </c>
      <c r="D64" s="5">
        <v>18</v>
      </c>
      <c r="E64" s="49">
        <v>0.96296300000000001</v>
      </c>
      <c r="F64" s="49">
        <v>0.88888889999999998</v>
      </c>
      <c r="G64" s="49">
        <v>0.96153840000000002</v>
      </c>
      <c r="H64" s="49">
        <v>0.8518519</v>
      </c>
      <c r="I64" s="51">
        <f t="shared" si="2"/>
        <v>9</v>
      </c>
      <c r="J64" s="49">
        <v>0.66666666666666663</v>
      </c>
      <c r="K64" s="49">
        <v>0.33333333333333331</v>
      </c>
      <c r="L64" s="5" t="s">
        <v>172</v>
      </c>
      <c r="M64" s="5" t="s">
        <v>191</v>
      </c>
      <c r="N64" s="50">
        <v>0</v>
      </c>
      <c r="O64" t="str">
        <f t="shared" si="3"/>
        <v>RNA</v>
      </c>
      <c r="P64" s="22">
        <f t="shared" si="4"/>
        <v>3</v>
      </c>
      <c r="Q64" s="22">
        <f t="shared" si="5"/>
        <v>1</v>
      </c>
      <c r="R64" s="22">
        <f t="shared" si="6"/>
        <v>3</v>
      </c>
      <c r="S64" s="22">
        <f t="shared" si="7"/>
        <v>2</v>
      </c>
      <c r="T64" s="40" t="e">
        <f>IF(#REF!=4, RANK(H64,H$8:H$82,1)+COUNTIF($H$8:H64,H64)-1, IF(#REF!=3, RANK(G64,G$8:G$82,1)+COUNTIF($G$8:G64,G64)-1, IF(#REF!=2, RANK(F64,F$8:F$82,1)+COUNTIF($F$8:F64,F64)-1, IF(#REF!=1, RANK(E64,E$8:E$82,1)+COUNTIF($E$8:E64,E64)-1))))</f>
        <v>#REF!</v>
      </c>
      <c r="U64" s="28" t="e">
        <f>IF(#REF!=4, H64, IF(#REF!=3, G64, IF(#REF!=2, F64, IF(#REF!=1, E64))))</f>
        <v>#REF!</v>
      </c>
      <c r="V64">
        <f t="shared" si="8"/>
        <v>24</v>
      </c>
    </row>
    <row r="65" spans="1:22" x14ac:dyDescent="0.25">
      <c r="A65" t="s">
        <v>13</v>
      </c>
      <c r="B65" t="s">
        <v>14</v>
      </c>
      <c r="C65" s="5">
        <v>9</v>
      </c>
      <c r="D65" s="5">
        <v>9</v>
      </c>
      <c r="E65" s="49">
        <v>1</v>
      </c>
      <c r="F65" s="49">
        <v>1</v>
      </c>
      <c r="G65" s="49">
        <v>1</v>
      </c>
      <c r="H65" s="49">
        <v>1</v>
      </c>
      <c r="I65" s="51">
        <f t="shared" si="2"/>
        <v>0</v>
      </c>
      <c r="J65" s="49">
        <v>1</v>
      </c>
      <c r="K65" s="49">
        <v>0</v>
      </c>
      <c r="L65" s="5" t="s">
        <v>176</v>
      </c>
      <c r="M65" s="5" t="s">
        <v>220</v>
      </c>
      <c r="N65" s="50">
        <v>0</v>
      </c>
      <c r="O65" t="str">
        <f t="shared" si="3"/>
        <v>RA9</v>
      </c>
      <c r="P65" s="22">
        <f t="shared" si="4"/>
        <v>4</v>
      </c>
      <c r="Q65" s="22">
        <f t="shared" si="5"/>
        <v>4</v>
      </c>
      <c r="R65" s="22">
        <f t="shared" si="6"/>
        <v>4</v>
      </c>
      <c r="S65" s="22">
        <f t="shared" si="7"/>
        <v>4</v>
      </c>
      <c r="T65" s="40" t="e">
        <f>IF(#REF!=4, RANK(H65,H$8:H$82,1)+COUNTIF($H$8:H65,H65)-1, IF(#REF!=3, RANK(G65,G$8:G$82,1)+COUNTIF($G$8:G65,G65)-1, IF(#REF!=2, RANK(F65,F$8:F$82,1)+COUNTIF($F$8:F65,F65)-1, IF(#REF!=1, RANK(E65,E$8:E$82,1)+COUNTIF($E$8:E65,E65)-1))))</f>
        <v>#REF!</v>
      </c>
      <c r="U65" s="28" t="e">
        <f>IF(#REF!=4, H65, IF(#REF!=3, G65, IF(#REF!=2, F65, IF(#REF!=1, E65))))</f>
        <v>#REF!</v>
      </c>
      <c r="V65">
        <f t="shared" si="8"/>
        <v>1</v>
      </c>
    </row>
    <row r="66" spans="1:22" x14ac:dyDescent="0.25">
      <c r="A66" t="s">
        <v>97</v>
      </c>
      <c r="B66" t="s">
        <v>98</v>
      </c>
      <c r="C66" s="5">
        <v>24</v>
      </c>
      <c r="D66" s="5" t="s">
        <v>226</v>
      </c>
      <c r="E66" s="49">
        <v>0.95833330000000005</v>
      </c>
      <c r="F66" s="49">
        <v>0.95833330000000005</v>
      </c>
      <c r="G66" s="49">
        <v>0.95833330000000005</v>
      </c>
      <c r="H66" s="49">
        <v>1</v>
      </c>
      <c r="I66" s="51" t="e">
        <f t="shared" si="2"/>
        <v>#VALUE!</v>
      </c>
      <c r="J66" s="49">
        <v>0.16666666666666666</v>
      </c>
      <c r="K66" s="49">
        <v>0.83333333333333337</v>
      </c>
      <c r="L66" s="5" t="s">
        <v>227</v>
      </c>
      <c r="M66" s="5" t="s">
        <v>177</v>
      </c>
      <c r="N66" s="50">
        <v>1.15154</v>
      </c>
      <c r="O66" t="str">
        <f t="shared" si="3"/>
        <v>RWD</v>
      </c>
      <c r="P66" s="22">
        <f t="shared" si="4"/>
        <v>3</v>
      </c>
      <c r="Q66" s="22">
        <f t="shared" si="5"/>
        <v>1</v>
      </c>
      <c r="R66" s="22">
        <f t="shared" si="6"/>
        <v>2</v>
      </c>
      <c r="S66" s="22">
        <f t="shared" si="7"/>
        <v>4</v>
      </c>
      <c r="T66" s="40" t="e">
        <f>IF(#REF!=4, RANK(H66,H$8:H$82,1)+COUNTIF($H$8:H66,H66)-1, IF(#REF!=3, RANK(G66,G$8:G$82,1)+COUNTIF($G$8:G66,G66)-1, IF(#REF!=2, RANK(F66,F$8:F$82,1)+COUNTIF($F$8:F66,F66)-1, IF(#REF!=1, RANK(E66,E$8:E$82,1)+COUNTIF($E$8:E66,E66)-1))))</f>
        <v>#REF!</v>
      </c>
      <c r="U66" s="28" t="e">
        <f>IF(#REF!=4, H66, IF(#REF!=3, G66, IF(#REF!=2, F66, IF(#REF!=1, E66))))</f>
        <v>#REF!</v>
      </c>
      <c r="V66">
        <f t="shared" si="8"/>
        <v>67</v>
      </c>
    </row>
    <row r="67" spans="1:22" x14ac:dyDescent="0.25">
      <c r="A67" t="s">
        <v>49</v>
      </c>
      <c r="B67" t="s">
        <v>50</v>
      </c>
      <c r="C67" s="5">
        <v>67</v>
      </c>
      <c r="D67" s="5">
        <v>33</v>
      </c>
      <c r="E67" s="49">
        <v>0.98507460000000002</v>
      </c>
      <c r="F67" s="49">
        <v>1</v>
      </c>
      <c r="G67" s="49">
        <v>1</v>
      </c>
      <c r="H67" s="49">
        <v>0.94029850000000004</v>
      </c>
      <c r="I67" s="51">
        <f t="shared" si="2"/>
        <v>34</v>
      </c>
      <c r="J67" s="49">
        <v>0.4925373134328358</v>
      </c>
      <c r="K67" s="49">
        <v>0.5074626865671642</v>
      </c>
      <c r="L67" s="5" t="s">
        <v>187</v>
      </c>
      <c r="M67" s="5" t="s">
        <v>204</v>
      </c>
      <c r="N67" s="50">
        <v>1.9654199999999999</v>
      </c>
      <c r="O67" t="str">
        <f t="shared" si="3"/>
        <v>RJE</v>
      </c>
      <c r="P67" s="22">
        <f t="shared" si="4"/>
        <v>3</v>
      </c>
      <c r="Q67" s="22">
        <f t="shared" si="5"/>
        <v>4</v>
      </c>
      <c r="R67" s="22">
        <f t="shared" si="6"/>
        <v>4</v>
      </c>
      <c r="S67" s="22">
        <f t="shared" si="7"/>
        <v>3</v>
      </c>
      <c r="T67" s="40" t="e">
        <f>IF(#REF!=4, RANK(H67,H$8:H$82,1)+COUNTIF($H$8:H67,H67)-1, IF(#REF!=3, RANK(G67,G$8:G$82,1)+COUNTIF($G$8:G67,G67)-1, IF(#REF!=2, RANK(F67,F$8:F$82,1)+COUNTIF($F$8:F67,F67)-1, IF(#REF!=1, RANK(E67,E$8:E$82,1)+COUNTIF($E$8:E67,E67)-1))))</f>
        <v>#REF!</v>
      </c>
      <c r="U67" s="28" t="e">
        <f>IF(#REF!=4, H67, IF(#REF!=3, G67, IF(#REF!=2, F67, IF(#REF!=1, E67))))</f>
        <v>#REF!</v>
      </c>
      <c r="V67">
        <f t="shared" si="8"/>
        <v>50</v>
      </c>
    </row>
    <row r="68" spans="1:22" x14ac:dyDescent="0.25">
      <c r="A68" t="s">
        <v>39</v>
      </c>
      <c r="B68" t="s">
        <v>40</v>
      </c>
      <c r="C68" s="5">
        <v>76</v>
      </c>
      <c r="D68" s="5">
        <v>42</v>
      </c>
      <c r="E68" s="49">
        <v>0.8026316</v>
      </c>
      <c r="F68" s="49">
        <v>1</v>
      </c>
      <c r="G68" s="49">
        <v>0.81944439999999996</v>
      </c>
      <c r="H68" s="49">
        <v>0.7763158</v>
      </c>
      <c r="I68" s="51">
        <f t="shared" si="2"/>
        <v>34</v>
      </c>
      <c r="J68" s="49">
        <v>0.55263157894736847</v>
      </c>
      <c r="K68" s="49">
        <v>0.44736842105263158</v>
      </c>
      <c r="L68" s="5" t="s">
        <v>176</v>
      </c>
      <c r="M68" s="5" t="s">
        <v>211</v>
      </c>
      <c r="N68" s="50">
        <v>1.22262</v>
      </c>
      <c r="O68" t="str">
        <f t="shared" si="3"/>
        <v>RHM</v>
      </c>
      <c r="P68" s="22">
        <f t="shared" si="4"/>
        <v>1</v>
      </c>
      <c r="Q68" s="22">
        <f t="shared" si="5"/>
        <v>4</v>
      </c>
      <c r="R68" s="22">
        <f t="shared" si="6"/>
        <v>1</v>
      </c>
      <c r="S68" s="22">
        <f t="shared" si="7"/>
        <v>1</v>
      </c>
      <c r="T68" s="40" t="e">
        <f>IF(#REF!=4, RANK(H68,H$8:H$82,1)+COUNTIF($H$8:H68,H68)-1, IF(#REF!=3, RANK(G68,G$8:G$82,1)+COUNTIF($G$8:G68,G68)-1, IF(#REF!=2, RANK(F68,F$8:F$82,1)+COUNTIF($F$8:F68,F68)-1, IF(#REF!=1, RANK(E68,E$8:E$82,1)+COUNTIF($E$8:E68,E68)-1))))</f>
        <v>#REF!</v>
      </c>
      <c r="U68" s="28" t="e">
        <f>IF(#REF!=4, H68, IF(#REF!=3, G68, IF(#REF!=2, F68, IF(#REF!=1, E68))))</f>
        <v>#REF!</v>
      </c>
      <c r="V68">
        <f t="shared" si="8"/>
        <v>42</v>
      </c>
    </row>
    <row r="69" spans="1:22" x14ac:dyDescent="0.25">
      <c r="A69" t="s">
        <v>360</v>
      </c>
      <c r="B69" t="s">
        <v>361</v>
      </c>
      <c r="C69" s="5">
        <v>61</v>
      </c>
      <c r="D69" s="5">
        <v>48</v>
      </c>
      <c r="E69" s="49">
        <v>0.9836066</v>
      </c>
      <c r="F69" s="49">
        <v>0.9836066</v>
      </c>
      <c r="G69" s="49">
        <v>0.98275860000000004</v>
      </c>
      <c r="H69" s="49">
        <v>0.95081970000000005</v>
      </c>
      <c r="I69" s="51">
        <f t="shared" si="2"/>
        <v>13</v>
      </c>
      <c r="J69" s="49">
        <v>0.78688524590163933</v>
      </c>
      <c r="K69" s="49">
        <v>0.21311475409836064</v>
      </c>
      <c r="L69" s="5" t="s">
        <v>202</v>
      </c>
      <c r="M69" s="5" t="s">
        <v>277</v>
      </c>
      <c r="N69" s="50">
        <v>1.01824</v>
      </c>
      <c r="O69" t="str">
        <f t="shared" si="3"/>
        <v>RYR</v>
      </c>
      <c r="P69" s="22">
        <f t="shared" si="4"/>
        <v>3</v>
      </c>
      <c r="Q69" s="22">
        <f t="shared" si="5"/>
        <v>2</v>
      </c>
      <c r="R69" s="22">
        <f t="shared" si="6"/>
        <v>3</v>
      </c>
      <c r="S69" s="22">
        <f t="shared" si="7"/>
        <v>3</v>
      </c>
      <c r="T69" s="40" t="e">
        <f>IF(#REF!=4, RANK(H69,H$8:H$82,1)+COUNTIF($H$8:H69,H69)-1, IF(#REF!=3, RANK(G69,G$8:G$82,1)+COUNTIF($G$8:G69,G69)-1, IF(#REF!=2, RANK(F69,F$8:F$82,1)+COUNTIF($F$8:F69,F69)-1, IF(#REF!=1, RANK(E69,E$8:E$82,1)+COUNTIF($E$8:E69,E69)-1))))</f>
        <v>#REF!</v>
      </c>
      <c r="U69" s="28" t="e">
        <f>IF(#REF!=4, H69, IF(#REF!=3, G69, IF(#REF!=2, F69, IF(#REF!=1, E69))))</f>
        <v>#REF!</v>
      </c>
      <c r="V69">
        <f t="shared" si="8"/>
        <v>13</v>
      </c>
    </row>
    <row r="70" spans="1:22" x14ac:dyDescent="0.25">
      <c r="A70" t="s">
        <v>77</v>
      </c>
      <c r="B70" t="s">
        <v>78</v>
      </c>
      <c r="C70" s="5">
        <v>36</v>
      </c>
      <c r="D70" s="5">
        <v>26</v>
      </c>
      <c r="E70" s="49">
        <v>0.94444439999999996</v>
      </c>
      <c r="F70" s="49">
        <v>1</v>
      </c>
      <c r="G70" s="49">
        <v>0.96666660000000004</v>
      </c>
      <c r="H70" s="49">
        <v>0.77777779999999996</v>
      </c>
      <c r="I70" s="51">
        <f t="shared" si="2"/>
        <v>10</v>
      </c>
      <c r="J70" s="49">
        <v>0.72222222222222221</v>
      </c>
      <c r="K70" s="49">
        <v>0.27777777777777779</v>
      </c>
      <c r="L70" s="5" t="s">
        <v>172</v>
      </c>
      <c r="M70" s="5" t="s">
        <v>204</v>
      </c>
      <c r="N70" s="50">
        <v>3.0428500000000001</v>
      </c>
      <c r="O70" t="str">
        <f t="shared" si="3"/>
        <v>RRK</v>
      </c>
      <c r="P70" s="22">
        <f t="shared" si="4"/>
        <v>2</v>
      </c>
      <c r="Q70" s="22">
        <f t="shared" si="5"/>
        <v>4</v>
      </c>
      <c r="R70" s="22">
        <f t="shared" si="6"/>
        <v>3</v>
      </c>
      <c r="S70" s="22">
        <f t="shared" si="7"/>
        <v>1</v>
      </c>
      <c r="T70" s="40" t="e">
        <f>IF(#REF!=4, RANK(H70,H$8:H$82,1)+COUNTIF($H$8:H70,H70)-1, IF(#REF!=3, RANK(G70,G$8:G$82,1)+COUNTIF($G$8:G70,G70)-1, IF(#REF!=2, RANK(F70,F$8:F$82,1)+COUNTIF($F$8:F70,F70)-1, IF(#REF!=1, RANK(E70,E$8:E$82,1)+COUNTIF($E$8:E70,E70)-1))))</f>
        <v>#REF!</v>
      </c>
      <c r="U70" s="28" t="e">
        <f>IF(#REF!=4, H70, IF(#REF!=3, G70, IF(#REF!=2, F70, IF(#REF!=1, E70))))</f>
        <v>#REF!</v>
      </c>
      <c r="V70">
        <f t="shared" si="8"/>
        <v>21</v>
      </c>
    </row>
    <row r="71" spans="1:22" x14ac:dyDescent="0.25">
      <c r="A71" t="s">
        <v>56</v>
      </c>
      <c r="B71" t="s">
        <v>57</v>
      </c>
      <c r="C71" s="5">
        <v>55</v>
      </c>
      <c r="D71" s="5">
        <v>35</v>
      </c>
      <c r="E71" s="49">
        <v>0.85454549999999996</v>
      </c>
      <c r="F71" s="49">
        <v>1</v>
      </c>
      <c r="G71" s="49">
        <v>0.84905660000000005</v>
      </c>
      <c r="H71" s="49">
        <v>0.85454549999999996</v>
      </c>
      <c r="I71" s="51">
        <f t="shared" si="2"/>
        <v>20</v>
      </c>
      <c r="J71" s="49">
        <v>0.63636363636363635</v>
      </c>
      <c r="K71" s="49">
        <v>0.36363636363636365</v>
      </c>
      <c r="L71" s="5" t="s">
        <v>185</v>
      </c>
      <c r="M71" s="5" t="s">
        <v>209</v>
      </c>
      <c r="N71" s="50">
        <v>1.3485499999999999</v>
      </c>
      <c r="O71" t="str">
        <f t="shared" si="3"/>
        <v>RKB</v>
      </c>
      <c r="P71" s="22">
        <f t="shared" si="4"/>
        <v>1</v>
      </c>
      <c r="Q71" s="22">
        <f t="shared" si="5"/>
        <v>4</v>
      </c>
      <c r="R71" s="22">
        <f t="shared" si="6"/>
        <v>1</v>
      </c>
      <c r="S71" s="22">
        <f t="shared" si="7"/>
        <v>2</v>
      </c>
      <c r="T71" s="40" t="e">
        <f>IF(#REF!=4, RANK(H71,H$8:H$82,1)+COUNTIF($H$8:H71,H71)-1, IF(#REF!=3, RANK(G71,G$8:G$82,1)+COUNTIF($G$8:G71,G71)-1, IF(#REF!=2, RANK(F71,F$8:F$82,1)+COUNTIF($F$8:F71,F71)-1, IF(#REF!=1, RANK(E71,E$8:E$82,1)+COUNTIF($E$8:E71,E71)-1))))</f>
        <v>#REF!</v>
      </c>
      <c r="U71" s="28" t="e">
        <f>IF(#REF!=4, H71, IF(#REF!=3, G71, IF(#REF!=2, F71, IF(#REF!=1, E71))))</f>
        <v>#REF!</v>
      </c>
      <c r="V71">
        <f t="shared" si="8"/>
        <v>28</v>
      </c>
    </row>
    <row r="72" spans="1:22" x14ac:dyDescent="0.25">
      <c r="A72" t="s">
        <v>336</v>
      </c>
      <c r="B72" t="s">
        <v>337</v>
      </c>
      <c r="C72" s="5">
        <v>50</v>
      </c>
      <c r="D72" s="5">
        <v>29</v>
      </c>
      <c r="E72" s="49">
        <v>0.98</v>
      </c>
      <c r="F72" s="49">
        <v>1</v>
      </c>
      <c r="G72" s="49">
        <v>0.97959180000000001</v>
      </c>
      <c r="H72" s="49">
        <v>0.98</v>
      </c>
      <c r="I72" s="51">
        <f t="shared" si="2"/>
        <v>21</v>
      </c>
      <c r="J72" s="49">
        <v>0.57999999999999996</v>
      </c>
      <c r="K72" s="49">
        <v>0.42</v>
      </c>
      <c r="L72" s="5" t="s">
        <v>189</v>
      </c>
      <c r="M72" s="5" t="s">
        <v>209</v>
      </c>
      <c r="N72" s="50">
        <v>1.37741</v>
      </c>
      <c r="O72" t="str">
        <f t="shared" si="3"/>
        <v>R0D</v>
      </c>
      <c r="P72" s="22">
        <f t="shared" si="4"/>
        <v>3</v>
      </c>
      <c r="Q72" s="22">
        <f t="shared" si="5"/>
        <v>4</v>
      </c>
      <c r="R72" s="22">
        <f t="shared" si="6"/>
        <v>3</v>
      </c>
      <c r="S72" s="22">
        <f t="shared" si="7"/>
        <v>4</v>
      </c>
      <c r="T72" s="40" t="e">
        <f>IF(#REF!=4, RANK(H72,H$8:H$82,1)+COUNTIF($H$8:H72,H72)-1, IF(#REF!=3, RANK(G72,G$8:G$82,1)+COUNTIF($G$8:G72,G72)-1, IF(#REF!=2, RANK(F72,F$8:F$82,1)+COUNTIF($F$8:F72,F72)-1, IF(#REF!=1, RANK(E72,E$8:E$82,1)+COUNTIF($E$8:E72,E72)-1))))</f>
        <v>#REF!</v>
      </c>
      <c r="U72" s="28" t="e">
        <f>IF(#REF!=4, H72, IF(#REF!=3, G72, IF(#REF!=2, F72, IF(#REF!=1, E72))))</f>
        <v>#REF!</v>
      </c>
      <c r="V72">
        <f t="shared" si="8"/>
        <v>37</v>
      </c>
    </row>
    <row r="73" spans="1:22" x14ac:dyDescent="0.25">
      <c r="A73" t="s">
        <v>87</v>
      </c>
      <c r="B73" t="s">
        <v>228</v>
      </c>
      <c r="C73" s="5">
        <v>23</v>
      </c>
      <c r="D73" s="5">
        <v>13</v>
      </c>
      <c r="E73" s="49">
        <v>1</v>
      </c>
      <c r="F73" s="49">
        <v>1</v>
      </c>
      <c r="G73" s="49">
        <v>1</v>
      </c>
      <c r="H73" s="49">
        <v>1</v>
      </c>
      <c r="I73" s="51">
        <f t="shared" ref="I73:I78" si="9">C73-D73</f>
        <v>10</v>
      </c>
      <c r="J73" s="49">
        <v>0.56521739130434778</v>
      </c>
      <c r="K73" s="49">
        <v>0.43478260869565216</v>
      </c>
      <c r="L73" s="5" t="s">
        <v>168</v>
      </c>
      <c r="M73" s="5" t="s">
        <v>214</v>
      </c>
      <c r="N73" s="50">
        <v>1.39876</v>
      </c>
      <c r="O73" t="str">
        <f t="shared" ref="O73:O78" si="10">A73</f>
        <v>RTG</v>
      </c>
      <c r="P73" s="22">
        <f t="shared" ref="P73:P78" si="11">+IF(E73&lt;E$2,1,IF(E73&lt;E$3,2,IF(E73&lt;E$4,3,4)))</f>
        <v>4</v>
      </c>
      <c r="Q73" s="22">
        <f t="shared" ref="Q73:Q78" si="12">+IF(F73&lt;F$2,1,IF(F73&lt;F$3,2,IF(F73&lt;F$4,3,4)))</f>
        <v>4</v>
      </c>
      <c r="R73" s="22">
        <f t="shared" ref="R73:R78" si="13">+IF(G73&lt;G$2,1,IF(G73&lt;G$3,2,IF(G73&lt;G$4,3,4)))</f>
        <v>4</v>
      </c>
      <c r="S73" s="22">
        <f t="shared" ref="S73:S78" si="14">+IF(H73&lt;H$2,1,IF(H73&lt;H$3,2,IF(H73&lt;H$4,3,4)))</f>
        <v>4</v>
      </c>
      <c r="T73" s="40" t="e">
        <f>IF(#REF!=4, RANK(H73,H$8:H$82,1)+COUNTIF($H$8:H73,H73)-1, IF(#REF!=3, RANK(G73,G$8:G$82,1)+COUNTIF($G$8:G73,G73)-1, IF(#REF!=2, RANK(F73,F$8:F$82,1)+COUNTIF($F$8:F73,F73)-1, IF(#REF!=1, RANK(E73,E$8:E$82,1)+COUNTIF($E$8:E73,E73)-1))))</f>
        <v>#REF!</v>
      </c>
      <c r="U73" s="28" t="e">
        <f>IF(#REF!=4, H73, IF(#REF!=3, G73, IF(#REF!=2, F73, IF(#REF!=1, E73))))</f>
        <v>#REF!</v>
      </c>
      <c r="V73">
        <f t="shared" ref="V73:V78" si="15">RANK(J73,$J$8:$J$78)</f>
        <v>39</v>
      </c>
    </row>
    <row r="74" spans="1:22" x14ac:dyDescent="0.25">
      <c r="A74" t="s">
        <v>99</v>
      </c>
      <c r="B74" t="s">
        <v>100</v>
      </c>
      <c r="C74" s="5">
        <v>39</v>
      </c>
      <c r="D74" s="5">
        <v>22</v>
      </c>
      <c r="E74" s="49">
        <v>0.7179487</v>
      </c>
      <c r="F74" s="49">
        <v>1</v>
      </c>
      <c r="G74" s="49">
        <v>0.7179487</v>
      </c>
      <c r="H74" s="49">
        <v>0.94871799999999995</v>
      </c>
      <c r="I74" s="51">
        <f t="shared" si="9"/>
        <v>17</v>
      </c>
      <c r="J74" s="49">
        <v>0.5641025641025641</v>
      </c>
      <c r="K74" s="49">
        <v>0.4358974358974359</v>
      </c>
      <c r="L74" s="5" t="s">
        <v>183</v>
      </c>
      <c r="M74" s="5" t="s">
        <v>209</v>
      </c>
      <c r="N74" s="50">
        <v>1.3703399999999999</v>
      </c>
      <c r="O74" t="str">
        <f t="shared" si="10"/>
        <v>RWE</v>
      </c>
      <c r="P74" s="22">
        <f t="shared" si="11"/>
        <v>1</v>
      </c>
      <c r="Q74" s="22">
        <f t="shared" si="12"/>
        <v>4</v>
      </c>
      <c r="R74" s="22">
        <f t="shared" si="13"/>
        <v>1</v>
      </c>
      <c r="S74" s="22">
        <f t="shared" si="14"/>
        <v>3</v>
      </c>
      <c r="T74" s="40" t="e">
        <f>IF(#REF!=4, RANK(H74,H$8:H$82,1)+COUNTIF($H$8:H74,H74)-1, IF(#REF!=3, RANK(G74,G$8:G$82,1)+COUNTIF($G$8:G74,G74)-1, IF(#REF!=2, RANK(F74,F$8:F$82,1)+COUNTIF($F$8:F74,F74)-1, IF(#REF!=1, RANK(E74,E$8:E$82,1)+COUNTIF($E$8:E74,E74)-1))))</f>
        <v>#REF!</v>
      </c>
      <c r="U74" s="28" t="e">
        <f>IF(#REF!=4, H74, IF(#REF!=3, G74, IF(#REF!=2, F74, IF(#REF!=1, E74))))</f>
        <v>#REF!</v>
      </c>
      <c r="V74">
        <f t="shared" si="15"/>
        <v>41</v>
      </c>
    </row>
    <row r="75" spans="1:22" x14ac:dyDescent="0.25">
      <c r="A75" t="s">
        <v>55</v>
      </c>
      <c r="B75" t="s">
        <v>159</v>
      </c>
      <c r="C75" s="5">
        <v>24</v>
      </c>
      <c r="D75" s="5">
        <v>10</v>
      </c>
      <c r="E75" s="49">
        <v>0.875</v>
      </c>
      <c r="F75" s="49">
        <v>0.95833330000000005</v>
      </c>
      <c r="G75" s="49">
        <v>0.85</v>
      </c>
      <c r="H75" s="49">
        <v>0.95833330000000005</v>
      </c>
      <c r="I75" s="51">
        <f t="shared" si="9"/>
        <v>14</v>
      </c>
      <c r="J75" s="49">
        <v>0.41666666666666669</v>
      </c>
      <c r="K75" s="49">
        <v>0.58333333333333337</v>
      </c>
      <c r="L75" s="5" t="s">
        <v>176</v>
      </c>
      <c r="M75" s="5" t="s">
        <v>167</v>
      </c>
      <c r="N75" s="50">
        <v>1.0355300000000001</v>
      </c>
      <c r="O75" t="str">
        <f t="shared" si="10"/>
        <v>RK9</v>
      </c>
      <c r="P75" s="22">
        <f t="shared" si="11"/>
        <v>2</v>
      </c>
      <c r="Q75" s="22">
        <f t="shared" si="12"/>
        <v>1</v>
      </c>
      <c r="R75" s="22">
        <f t="shared" si="13"/>
        <v>1</v>
      </c>
      <c r="S75" s="22">
        <f t="shared" si="14"/>
        <v>3</v>
      </c>
      <c r="T75" s="40" t="e">
        <f>IF(#REF!=4, RANK(H75,H$8:H$82,1)+COUNTIF($H$8:H75,H75)-1, IF(#REF!=3, RANK(G75,G$8:G$82,1)+COUNTIF($G$8:G75,G75)-1, IF(#REF!=2, RANK(F75,F$8:F$82,1)+COUNTIF($F$8:F75,F75)-1, IF(#REF!=1, RANK(E75,E$8:E$82,1)+COUNTIF($E$8:E75,E75)-1))))</f>
        <v>#REF!</v>
      </c>
      <c r="U75" s="28" t="e">
        <f>IF(#REF!=4, H75, IF(#REF!=3, G75, IF(#REF!=2, F75, IF(#REF!=1, E75))))</f>
        <v>#REF!</v>
      </c>
      <c r="V75">
        <f t="shared" si="15"/>
        <v>57</v>
      </c>
    </row>
    <row r="76" spans="1:22" x14ac:dyDescent="0.25">
      <c r="A76" t="s">
        <v>101</v>
      </c>
      <c r="B76" t="s">
        <v>102</v>
      </c>
      <c r="C76" s="5">
        <v>16</v>
      </c>
      <c r="D76" s="5">
        <v>12</v>
      </c>
      <c r="E76" s="49">
        <v>1</v>
      </c>
      <c r="F76" s="49">
        <v>0.9375</v>
      </c>
      <c r="G76" s="49">
        <v>1</v>
      </c>
      <c r="H76" s="49">
        <v>0.9375</v>
      </c>
      <c r="I76" s="51">
        <f t="shared" si="9"/>
        <v>4</v>
      </c>
      <c r="J76" s="49">
        <v>0.75</v>
      </c>
      <c r="K76" s="49">
        <v>0.25</v>
      </c>
      <c r="L76" s="5" t="s">
        <v>188</v>
      </c>
      <c r="M76" s="5" t="s">
        <v>357</v>
      </c>
      <c r="N76" s="50">
        <v>2.0322300000000002</v>
      </c>
      <c r="O76" t="str">
        <f t="shared" si="10"/>
        <v>RWG</v>
      </c>
      <c r="P76" s="22">
        <f t="shared" si="11"/>
        <v>4</v>
      </c>
      <c r="Q76" s="22">
        <f t="shared" si="12"/>
        <v>1</v>
      </c>
      <c r="R76" s="22">
        <f t="shared" si="13"/>
        <v>4</v>
      </c>
      <c r="S76" s="22">
        <f t="shared" si="14"/>
        <v>3</v>
      </c>
      <c r="T76" s="40" t="e">
        <f>IF(#REF!=4, RANK(H76,H$8:H$82,1)+COUNTIF($H$8:H76,H76)-1, IF(#REF!=3, RANK(G76,G$8:G$82,1)+COUNTIF($G$8:G76,G76)-1, IF(#REF!=2, RANK(F76,F$8:F$82,1)+COUNTIF($F$8:F76,F76)-1, IF(#REF!=1, RANK(E76,E$8:E$82,1)+COUNTIF($E$8:E76,E76)-1))))</f>
        <v>#REF!</v>
      </c>
      <c r="U76" s="28" t="e">
        <f>IF(#REF!=4, H76, IF(#REF!=3, G76, IF(#REF!=2, F76, IF(#REF!=1, E76))))</f>
        <v>#REF!</v>
      </c>
      <c r="V76">
        <f t="shared" si="15"/>
        <v>18</v>
      </c>
    </row>
    <row r="77" spans="1:22" x14ac:dyDescent="0.25">
      <c r="A77" t="s">
        <v>105</v>
      </c>
      <c r="B77" t="s">
        <v>106</v>
      </c>
      <c r="C77" s="5">
        <v>48</v>
      </c>
      <c r="D77" s="5">
        <v>26</v>
      </c>
      <c r="E77" s="49">
        <v>1</v>
      </c>
      <c r="F77" s="49">
        <v>1</v>
      </c>
      <c r="G77" s="49">
        <v>1</v>
      </c>
      <c r="H77" s="49">
        <v>0.85416669999999995</v>
      </c>
      <c r="I77" s="51">
        <f t="shared" si="9"/>
        <v>22</v>
      </c>
      <c r="J77" s="49">
        <v>0.54166666666666663</v>
      </c>
      <c r="K77" s="49">
        <v>0.45833333333333331</v>
      </c>
      <c r="L77" s="5" t="s">
        <v>199</v>
      </c>
      <c r="M77" s="5" t="s">
        <v>215</v>
      </c>
      <c r="N77" s="50">
        <v>0.52122999999999997</v>
      </c>
      <c r="O77" t="str">
        <f t="shared" si="10"/>
        <v>RWP</v>
      </c>
      <c r="P77" s="22">
        <f t="shared" si="11"/>
        <v>4</v>
      </c>
      <c r="Q77" s="22">
        <f t="shared" si="12"/>
        <v>4</v>
      </c>
      <c r="R77" s="22">
        <f t="shared" si="13"/>
        <v>4</v>
      </c>
      <c r="S77" s="22">
        <f t="shared" si="14"/>
        <v>2</v>
      </c>
      <c r="T77" s="40" t="e">
        <f>IF(#REF!=4, RANK(H77,H$8:H$82,1)+COUNTIF($H$8:H77,H77)-1, IF(#REF!=3, RANK(G77,G$8:G$82,1)+COUNTIF($G$8:G77,G77)-1, IF(#REF!=2, RANK(F77,F$8:F$82,1)+COUNTIF($F$8:F77,F77)-1, IF(#REF!=1, RANK(E77,E$8:E$82,1)+COUNTIF($E$8:E77,E77)-1))))</f>
        <v>#REF!</v>
      </c>
      <c r="U77" s="28" t="e">
        <f>IF(#REF!=4, H77, IF(#REF!=3, G77, IF(#REF!=2, F77, IF(#REF!=1, E77))))</f>
        <v>#REF!</v>
      </c>
      <c r="V77">
        <f t="shared" si="15"/>
        <v>44</v>
      </c>
    </row>
    <row r="78" spans="1:22" x14ac:dyDescent="0.25">
      <c r="A78" t="s">
        <v>22</v>
      </c>
      <c r="B78" t="s">
        <v>23</v>
      </c>
      <c r="C78" s="5">
        <v>26</v>
      </c>
      <c r="D78" s="5">
        <v>7</v>
      </c>
      <c r="E78" s="49">
        <v>0.76923079999999999</v>
      </c>
      <c r="F78" s="49">
        <v>0.96153840000000002</v>
      </c>
      <c r="G78" s="49">
        <v>0.85</v>
      </c>
      <c r="H78" s="49">
        <v>0.76923079999999999</v>
      </c>
      <c r="I78" s="51">
        <f t="shared" si="9"/>
        <v>19</v>
      </c>
      <c r="J78" s="49">
        <v>0.26923076923076922</v>
      </c>
      <c r="K78" s="49">
        <v>0.73076923076923073</v>
      </c>
      <c r="L78" s="5" t="s">
        <v>344</v>
      </c>
      <c r="M78" s="5" t="s">
        <v>345</v>
      </c>
      <c r="N78" s="50">
        <v>1.36802</v>
      </c>
      <c r="O78" t="str">
        <f t="shared" si="10"/>
        <v>RCB</v>
      </c>
      <c r="P78" s="22">
        <f t="shared" si="11"/>
        <v>1</v>
      </c>
      <c r="Q78" s="22">
        <f t="shared" si="12"/>
        <v>1</v>
      </c>
      <c r="R78" s="22">
        <f t="shared" si="13"/>
        <v>1</v>
      </c>
      <c r="S78" s="22">
        <f t="shared" si="14"/>
        <v>1</v>
      </c>
      <c r="T78" s="40" t="e">
        <f>IF(#REF!=4, RANK(H78,H$8:H$82,1)+COUNTIF($H$8:H78,H78)-1, IF(#REF!=3, RANK(G78,G$8:G$82,1)+COUNTIF($G$8:G78,G78)-1, IF(#REF!=2, RANK(F78,F$8:F$82,1)+COUNTIF($F$8:F78,F78)-1, IF(#REF!=1, RANK(E78,E$8:E$82,1)+COUNTIF($E$8:E78,E78)-1))))</f>
        <v>#REF!</v>
      </c>
      <c r="U78" s="28" t="e">
        <f>IF(#REF!=4, H78, IF(#REF!=3, G78, IF(#REF!=2, F78, IF(#REF!=1, E78))))</f>
        <v>#REF!</v>
      </c>
      <c r="V78">
        <f t="shared" si="15"/>
        <v>64</v>
      </c>
    </row>
  </sheetData>
  <sortState ref="A2:K72">
    <sortCondition ref="B2"/>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2"/>
  <sheetViews>
    <sheetView workbookViewId="0">
      <pane xSplit="2" ySplit="1" topLeftCell="I2" activePane="bottomRight" state="frozen"/>
      <selection pane="topRight" activeCell="C1" sqref="C1"/>
      <selection pane="bottomLeft" activeCell="A2" sqref="A2"/>
      <selection pane="bottomRight" activeCell="R2" sqref="R2"/>
    </sheetView>
  </sheetViews>
  <sheetFormatPr defaultRowHeight="15" x14ac:dyDescent="0.25"/>
  <cols>
    <col min="1" max="1" width="10.42578125" bestFit="1" customWidth="1"/>
    <col min="2" max="2" width="61" bestFit="1" customWidth="1"/>
    <col min="3" max="3" width="14.28515625" bestFit="1" customWidth="1"/>
    <col min="4" max="4" width="32.140625" bestFit="1" customWidth="1"/>
    <col min="5" max="5" width="24.7109375" bestFit="1" customWidth="1"/>
    <col min="6" max="6" width="10.28515625" bestFit="1" customWidth="1"/>
    <col min="7" max="7" width="11.28515625" bestFit="1" customWidth="1"/>
    <col min="8" max="8" width="17.28515625" bestFit="1" customWidth="1"/>
    <col min="9" max="9" width="9.85546875" bestFit="1" customWidth="1"/>
    <col min="10" max="10" width="15" bestFit="1" customWidth="1"/>
    <col min="11" max="11" width="8.42578125" style="8" bestFit="1" customWidth="1"/>
    <col min="12" max="17" width="8.42578125" customWidth="1"/>
    <col min="18" max="22" width="8.42578125" style="8" customWidth="1"/>
    <col min="23" max="24" width="10.85546875" style="8" bestFit="1" customWidth="1"/>
    <col min="25" max="25" width="10.140625" bestFit="1" customWidth="1"/>
    <col min="26" max="26" width="11.140625" bestFit="1" customWidth="1"/>
    <col min="27" max="27" width="11.42578125" bestFit="1" customWidth="1"/>
    <col min="28" max="28" width="10.28515625" bestFit="1" customWidth="1"/>
  </cols>
  <sheetData>
    <row r="1" spans="1:28" ht="90" x14ac:dyDescent="0.25">
      <c r="A1" s="62" t="s">
        <v>385</v>
      </c>
      <c r="B1" s="62" t="s">
        <v>139</v>
      </c>
      <c r="C1" s="88" t="s">
        <v>989</v>
      </c>
      <c r="D1" s="89" t="s">
        <v>990</v>
      </c>
      <c r="E1" s="90" t="s">
        <v>991</v>
      </c>
      <c r="F1" s="91" t="s">
        <v>992</v>
      </c>
      <c r="G1" s="91" t="s">
        <v>993</v>
      </c>
      <c r="H1" s="91" t="s">
        <v>994</v>
      </c>
      <c r="I1" s="91" t="s">
        <v>995</v>
      </c>
      <c r="J1" s="62" t="s">
        <v>385</v>
      </c>
      <c r="K1" s="38" t="s">
        <v>398</v>
      </c>
      <c r="L1" s="27" t="s">
        <v>461</v>
      </c>
      <c r="M1" s="27" t="s">
        <v>462</v>
      </c>
      <c r="N1" s="27" t="s">
        <v>463</v>
      </c>
      <c r="O1" s="27" t="s">
        <v>464</v>
      </c>
      <c r="P1" s="27" t="s">
        <v>465</v>
      </c>
      <c r="Q1" s="27" t="s">
        <v>566</v>
      </c>
      <c r="R1" s="38" t="s">
        <v>466</v>
      </c>
      <c r="S1" s="38" t="s">
        <v>467</v>
      </c>
      <c r="T1" s="38" t="s">
        <v>468</v>
      </c>
      <c r="U1" s="38" t="s">
        <v>469</v>
      </c>
      <c r="V1" s="38" t="s">
        <v>471</v>
      </c>
      <c r="W1" s="38" t="s">
        <v>470</v>
      </c>
      <c r="X1" s="38" t="s">
        <v>473</v>
      </c>
      <c r="Y1" s="27" t="s">
        <v>399</v>
      </c>
      <c r="Z1" s="27" t="s">
        <v>400</v>
      </c>
      <c r="AA1" s="27" t="s">
        <v>401</v>
      </c>
      <c r="AB1" s="38" t="s">
        <v>402</v>
      </c>
    </row>
    <row r="2" spans="1:28" x14ac:dyDescent="0.25">
      <c r="A2" t="s">
        <v>6</v>
      </c>
      <c r="B2" t="s">
        <v>7</v>
      </c>
      <c r="C2" s="92">
        <v>10</v>
      </c>
      <c r="D2" s="119" t="s">
        <v>958</v>
      </c>
      <c r="E2" s="160">
        <v>0.60000002384185791</v>
      </c>
      <c r="F2" s="93">
        <v>15</v>
      </c>
      <c r="G2" s="93">
        <v>3</v>
      </c>
      <c r="H2" s="93">
        <v>38</v>
      </c>
      <c r="I2" s="94">
        <v>56</v>
      </c>
      <c r="J2" t="str">
        <f>A2</f>
        <v>7A6</v>
      </c>
      <c r="K2" s="8">
        <v>22</v>
      </c>
      <c r="L2" s="182">
        <v>4</v>
      </c>
      <c r="M2" s="8">
        <v>3</v>
      </c>
      <c r="N2" s="8">
        <v>6</v>
      </c>
      <c r="O2" s="8">
        <f>L2-M2</f>
        <v>1</v>
      </c>
      <c r="P2" s="8">
        <f>N2-L2</f>
        <v>2</v>
      </c>
      <c r="Q2" s="183">
        <v>60</v>
      </c>
      <c r="R2" s="8">
        <v>26</v>
      </c>
      <c r="S2" s="8">
        <v>88</v>
      </c>
      <c r="T2" s="8">
        <f>Q2-R2</f>
        <v>34</v>
      </c>
      <c r="U2" s="8">
        <f>S2-Q2</f>
        <v>28</v>
      </c>
      <c r="V2" s="8">
        <f>IF('LL Revascularisation Summary'!$P$3=2, Q2, IF('LL Revascularisation Summary'!$P$3=1,L2))</f>
        <v>60</v>
      </c>
      <c r="W2" s="183">
        <f>IF('LL Revascularisation Summary'!$P$3=2, U2, IF('LL Revascularisation Summary'!$P$3=1,P2))</f>
        <v>28</v>
      </c>
      <c r="X2" s="183">
        <f>IF('LL Revascularisation Summary'!$P$3=2, T2, IF('LL Revascularisation Summary'!$P$3=1,O2))</f>
        <v>34</v>
      </c>
      <c r="Y2" s="184">
        <f>F2/I2</f>
        <v>0.26785714285714285</v>
      </c>
      <c r="Z2" s="184">
        <f>G2/I2</f>
        <v>5.3571428571428568E-2</v>
      </c>
      <c r="AA2" s="184">
        <f>H2/I2</f>
        <v>0.6785714285714286</v>
      </c>
      <c r="AB2" s="8">
        <v>1</v>
      </c>
    </row>
    <row r="3" spans="1:28" x14ac:dyDescent="0.25">
      <c r="A3" t="s">
        <v>89</v>
      </c>
      <c r="B3" t="s">
        <v>290</v>
      </c>
      <c r="C3" s="95">
        <v>0</v>
      </c>
      <c r="D3" s="120" t="s">
        <v>220</v>
      </c>
      <c r="E3" s="161" t="s">
        <v>220</v>
      </c>
      <c r="F3" s="5" t="s">
        <v>227</v>
      </c>
      <c r="G3" s="5" t="s">
        <v>227</v>
      </c>
      <c r="H3" s="5" t="s">
        <v>227</v>
      </c>
      <c r="I3" s="96" t="s">
        <v>227</v>
      </c>
      <c r="J3" t="str">
        <f t="shared" ref="J3:J66" si="0">A3</f>
        <v>RTK</v>
      </c>
      <c r="K3" s="8" t="e">
        <v>#N/A</v>
      </c>
      <c r="L3" s="182" t="s">
        <v>472</v>
      </c>
      <c r="M3" s="8" t="e">
        <v>#VALUE!</v>
      </c>
      <c r="N3" s="8" t="e">
        <v>#VALUE!</v>
      </c>
      <c r="O3" s="8" t="e">
        <f t="shared" ref="O3:O66" si="1">L3-M3</f>
        <v>#VALUE!</v>
      </c>
      <c r="P3" s="8" t="e">
        <f t="shared" ref="P3:P66" si="2">N3-L3</f>
        <v>#VALUE!</v>
      </c>
      <c r="Q3" s="183" t="e">
        <v>#VALUE!</v>
      </c>
      <c r="R3" s="8" t="e">
        <v>#VALUE!</v>
      </c>
      <c r="S3" s="8" t="e">
        <v>#VALUE!</v>
      </c>
      <c r="T3" s="8" t="e">
        <f t="shared" ref="T3:T66" si="3">Q3-R3</f>
        <v>#VALUE!</v>
      </c>
      <c r="U3" s="8" t="e">
        <f t="shared" ref="U3:U66" si="4">S3-Q3</f>
        <v>#VALUE!</v>
      </c>
      <c r="V3" s="8" t="e">
        <f>IF('LL Revascularisation Summary'!$P$3=2, Q3, IF('LL Revascularisation Summary'!$P$3=1,L3))</f>
        <v>#VALUE!</v>
      </c>
      <c r="W3" s="183" t="e">
        <f>IF('LL Revascularisation Summary'!$P$3=2, U3, IF('LL Revascularisation Summary'!$P$3=1,P3))</f>
        <v>#VALUE!</v>
      </c>
      <c r="X3" s="183" t="e">
        <f>IF('LL Revascularisation Summary'!$P$3=2, T3, IF('LL Revascularisation Summary'!$P$3=1,O3))</f>
        <v>#VALUE!</v>
      </c>
      <c r="Y3" s="184" t="e">
        <f t="shared" ref="Y3:Y66" si="5">F3/I3</f>
        <v>#VALUE!</v>
      </c>
      <c r="Z3" s="184" t="e">
        <f t="shared" ref="Z3:Z66" si="6">G3/I3</f>
        <v>#VALUE!</v>
      </c>
      <c r="AA3" s="184" t="e">
        <f t="shared" ref="AA3:AA66" si="7">H3/I3</f>
        <v>#VALUE!</v>
      </c>
      <c r="AB3" s="8">
        <v>0</v>
      </c>
    </row>
    <row r="4" spans="1:28" x14ac:dyDescent="0.25">
      <c r="A4" t="s">
        <v>30</v>
      </c>
      <c r="B4" t="s">
        <v>291</v>
      </c>
      <c r="C4" s="95">
        <v>40</v>
      </c>
      <c r="D4" s="120" t="s">
        <v>959</v>
      </c>
      <c r="E4" s="162">
        <v>0.34999999403953552</v>
      </c>
      <c r="F4" s="5">
        <v>24</v>
      </c>
      <c r="G4" s="5">
        <v>11</v>
      </c>
      <c r="H4" s="5">
        <v>114</v>
      </c>
      <c r="I4" s="96">
        <v>149</v>
      </c>
      <c r="J4" t="str">
        <f t="shared" si="0"/>
        <v>RF4</v>
      </c>
      <c r="K4" s="8">
        <v>53</v>
      </c>
      <c r="L4" s="182">
        <v>7</v>
      </c>
      <c r="M4" s="8">
        <v>4</v>
      </c>
      <c r="N4" s="8">
        <v>10</v>
      </c>
      <c r="O4" s="8">
        <f t="shared" si="1"/>
        <v>3</v>
      </c>
      <c r="P4" s="8">
        <f t="shared" si="2"/>
        <v>3</v>
      </c>
      <c r="Q4" s="183">
        <v>35</v>
      </c>
      <c r="R4" s="8">
        <v>21</v>
      </c>
      <c r="S4" s="8">
        <v>52</v>
      </c>
      <c r="T4" s="8">
        <f t="shared" si="3"/>
        <v>14</v>
      </c>
      <c r="U4" s="8">
        <f t="shared" si="4"/>
        <v>17</v>
      </c>
      <c r="V4" s="8">
        <f>IF('LL Revascularisation Summary'!$P$3=2, Q4, IF('LL Revascularisation Summary'!$P$3=1,L4))</f>
        <v>35</v>
      </c>
      <c r="W4" s="183">
        <f>IF('LL Revascularisation Summary'!$P$3=2, U4, IF('LL Revascularisation Summary'!$P$3=1,P4))</f>
        <v>17</v>
      </c>
      <c r="X4" s="183">
        <f>IF('LL Revascularisation Summary'!$P$3=2, T4, IF('LL Revascularisation Summary'!$P$3=1,O4))</f>
        <v>14</v>
      </c>
      <c r="Y4" s="184">
        <f t="shared" si="5"/>
        <v>0.16107382550335569</v>
      </c>
      <c r="Z4" s="184">
        <f t="shared" si="6"/>
        <v>7.3825503355704702E-2</v>
      </c>
      <c r="AA4" s="184">
        <f t="shared" si="7"/>
        <v>0.7651006711409396</v>
      </c>
      <c r="AB4" s="8">
        <v>1</v>
      </c>
    </row>
    <row r="5" spans="1:28" x14ac:dyDescent="0.25">
      <c r="A5" t="s">
        <v>10</v>
      </c>
      <c r="B5" t="s">
        <v>11</v>
      </c>
      <c r="C5" s="95">
        <v>23</v>
      </c>
      <c r="D5" s="120" t="s">
        <v>960</v>
      </c>
      <c r="E5" s="163">
        <v>0.34999999403953552</v>
      </c>
      <c r="F5" s="5">
        <v>6</v>
      </c>
      <c r="G5" s="5">
        <v>6</v>
      </c>
      <c r="H5" s="5">
        <v>43</v>
      </c>
      <c r="I5" s="96">
        <v>55</v>
      </c>
      <c r="J5" t="str">
        <f t="shared" si="0"/>
        <v>R1H</v>
      </c>
      <c r="K5" s="8">
        <v>51</v>
      </c>
      <c r="L5" s="182">
        <v>7</v>
      </c>
      <c r="M5" s="8">
        <v>3</v>
      </c>
      <c r="N5" s="8">
        <v>13</v>
      </c>
      <c r="O5" s="8">
        <f t="shared" si="1"/>
        <v>4</v>
      </c>
      <c r="P5" s="8">
        <f t="shared" si="2"/>
        <v>6</v>
      </c>
      <c r="Q5" s="183">
        <v>35</v>
      </c>
      <c r="R5" s="8">
        <v>16</v>
      </c>
      <c r="S5" s="8">
        <v>56.999999999999993</v>
      </c>
      <c r="T5" s="8">
        <f t="shared" si="3"/>
        <v>19</v>
      </c>
      <c r="U5" s="8">
        <f t="shared" si="4"/>
        <v>21.999999999999993</v>
      </c>
      <c r="V5" s="8">
        <f>IF('LL Revascularisation Summary'!$P$3=2, Q5, IF('LL Revascularisation Summary'!$P$3=1,L5))</f>
        <v>35</v>
      </c>
      <c r="W5" s="183">
        <f>IF('LL Revascularisation Summary'!$P$3=2, U5, IF('LL Revascularisation Summary'!$P$3=1,P5))</f>
        <v>21.999999999999993</v>
      </c>
      <c r="X5" s="183">
        <f>IF('LL Revascularisation Summary'!$P$3=2, T5, IF('LL Revascularisation Summary'!$P$3=1,O5))</f>
        <v>19</v>
      </c>
      <c r="Y5" s="184">
        <f t="shared" si="5"/>
        <v>0.10909090909090909</v>
      </c>
      <c r="Z5" s="184">
        <f t="shared" si="6"/>
        <v>0.10909090909090909</v>
      </c>
      <c r="AA5" s="184">
        <f t="shared" si="7"/>
        <v>0.78181818181818186</v>
      </c>
      <c r="AB5" s="8">
        <v>1</v>
      </c>
    </row>
    <row r="6" spans="1:28" x14ac:dyDescent="0.25">
      <c r="A6" t="s">
        <v>417</v>
      </c>
      <c r="B6" t="s">
        <v>418</v>
      </c>
      <c r="C6" s="95">
        <v>56</v>
      </c>
      <c r="D6" s="120" t="s">
        <v>961</v>
      </c>
      <c r="E6" s="162">
        <v>0.63999998569488525</v>
      </c>
      <c r="F6" s="5">
        <v>67</v>
      </c>
      <c r="G6" s="5">
        <v>33</v>
      </c>
      <c r="H6" s="5">
        <v>134</v>
      </c>
      <c r="I6" s="96">
        <v>234</v>
      </c>
      <c r="J6" t="str">
        <f t="shared" si="0"/>
        <v>RC9</v>
      </c>
      <c r="K6" s="8">
        <v>11</v>
      </c>
      <c r="L6" s="182">
        <v>3</v>
      </c>
      <c r="M6" s="8">
        <v>1</v>
      </c>
      <c r="N6" s="8">
        <v>8</v>
      </c>
      <c r="O6" s="8">
        <f t="shared" si="1"/>
        <v>2</v>
      </c>
      <c r="P6" s="8">
        <f t="shared" si="2"/>
        <v>5</v>
      </c>
      <c r="Q6" s="183">
        <v>64</v>
      </c>
      <c r="R6" s="8">
        <v>50</v>
      </c>
      <c r="S6" s="8">
        <v>77</v>
      </c>
      <c r="T6" s="8">
        <f t="shared" si="3"/>
        <v>14</v>
      </c>
      <c r="U6" s="8">
        <f t="shared" si="4"/>
        <v>13</v>
      </c>
      <c r="V6" s="8">
        <f>IF('LL Revascularisation Summary'!$P$3=2, Q6, IF('LL Revascularisation Summary'!$P$3=1,L6))</f>
        <v>64</v>
      </c>
      <c r="W6" s="183">
        <f>IF('LL Revascularisation Summary'!$P$3=2, U6, IF('LL Revascularisation Summary'!$P$3=1,P6))</f>
        <v>13</v>
      </c>
      <c r="X6" s="183">
        <f>IF('LL Revascularisation Summary'!$P$3=2, T6, IF('LL Revascularisation Summary'!$P$3=1,O6))</f>
        <v>14</v>
      </c>
      <c r="Y6" s="184">
        <f t="shared" si="5"/>
        <v>0.28632478632478631</v>
      </c>
      <c r="Z6" s="184">
        <f t="shared" si="6"/>
        <v>0.14102564102564102</v>
      </c>
      <c r="AA6" s="184">
        <f t="shared" si="7"/>
        <v>0.57264957264957261</v>
      </c>
      <c r="AB6" s="8">
        <v>1</v>
      </c>
    </row>
    <row r="7" spans="1:28" x14ac:dyDescent="0.25">
      <c r="A7" s="164" t="s">
        <v>137</v>
      </c>
      <c r="B7" s="164" t="s">
        <v>138</v>
      </c>
      <c r="C7" s="95">
        <v>119</v>
      </c>
      <c r="D7" s="120" t="s">
        <v>962</v>
      </c>
      <c r="E7" s="162">
        <v>0.57999998331069946</v>
      </c>
      <c r="F7" s="97">
        <v>129</v>
      </c>
      <c r="G7" s="97">
        <v>73</v>
      </c>
      <c r="H7" s="97">
        <v>128</v>
      </c>
      <c r="I7" s="96">
        <v>330</v>
      </c>
      <c r="J7" t="str">
        <f t="shared" si="0"/>
        <v>ZT001</v>
      </c>
      <c r="K7" s="8">
        <v>27</v>
      </c>
      <c r="L7" s="182">
        <v>5</v>
      </c>
      <c r="M7" s="8">
        <v>3</v>
      </c>
      <c r="N7" s="8">
        <v>8</v>
      </c>
      <c r="O7" s="8">
        <f t="shared" si="1"/>
        <v>2</v>
      </c>
      <c r="P7" s="8">
        <f t="shared" si="2"/>
        <v>3</v>
      </c>
      <c r="Q7" s="183">
        <v>58</v>
      </c>
      <c r="R7" s="8">
        <v>49</v>
      </c>
      <c r="S7" s="8">
        <v>67</v>
      </c>
      <c r="T7" s="8">
        <f t="shared" si="3"/>
        <v>9</v>
      </c>
      <c r="U7" s="8">
        <f t="shared" si="4"/>
        <v>9</v>
      </c>
      <c r="V7" s="8">
        <f>IF('LL Revascularisation Summary'!$P$3=2, Q7, IF('LL Revascularisation Summary'!$P$3=1,L7))</f>
        <v>58</v>
      </c>
      <c r="W7" s="183">
        <f>IF('LL Revascularisation Summary'!$P$3=2, U7, IF('LL Revascularisation Summary'!$P$3=1,P7))</f>
        <v>9</v>
      </c>
      <c r="X7" s="183">
        <f>IF('LL Revascularisation Summary'!$P$3=2, T7, IF('LL Revascularisation Summary'!$P$3=1,O7))</f>
        <v>9</v>
      </c>
      <c r="Y7" s="184">
        <f t="shared" si="5"/>
        <v>0.39090909090909093</v>
      </c>
      <c r="Z7" s="184">
        <f t="shared" si="6"/>
        <v>0.22121212121212122</v>
      </c>
      <c r="AA7" s="184">
        <f t="shared" si="7"/>
        <v>0.38787878787878788</v>
      </c>
      <c r="AB7" s="8">
        <v>1</v>
      </c>
    </row>
    <row r="8" spans="1:28" x14ac:dyDescent="0.25">
      <c r="A8" t="s">
        <v>0</v>
      </c>
      <c r="B8" t="s">
        <v>1</v>
      </c>
      <c r="C8" s="95">
        <v>35</v>
      </c>
      <c r="D8" s="120" t="s">
        <v>963</v>
      </c>
      <c r="E8" s="162">
        <v>0.17000000178813934</v>
      </c>
      <c r="F8" s="97">
        <v>67</v>
      </c>
      <c r="G8" s="97">
        <v>31</v>
      </c>
      <c r="H8" s="97">
        <v>3</v>
      </c>
      <c r="I8" s="96">
        <v>101</v>
      </c>
      <c r="J8" t="str">
        <f t="shared" si="0"/>
        <v>7A1</v>
      </c>
      <c r="K8" s="8">
        <v>58</v>
      </c>
      <c r="L8" s="182" t="s">
        <v>956</v>
      </c>
      <c r="M8" s="8">
        <v>6</v>
      </c>
      <c r="N8" s="8">
        <v>16</v>
      </c>
      <c r="O8" s="8">
        <f t="shared" si="1"/>
        <v>4</v>
      </c>
      <c r="P8" s="8">
        <f t="shared" si="2"/>
        <v>6</v>
      </c>
      <c r="Q8" s="183">
        <v>17</v>
      </c>
      <c r="R8" s="8">
        <v>7.0000000000000009</v>
      </c>
      <c r="S8" s="8">
        <v>34</v>
      </c>
      <c r="T8" s="8">
        <f t="shared" si="3"/>
        <v>10</v>
      </c>
      <c r="U8" s="8">
        <f t="shared" si="4"/>
        <v>17</v>
      </c>
      <c r="V8" s="8">
        <f>IF('LL Revascularisation Summary'!$P$3=2, Q8, IF('LL Revascularisation Summary'!$P$3=1,L8))</f>
        <v>17</v>
      </c>
      <c r="W8" s="183">
        <f>IF('LL Revascularisation Summary'!$P$3=2, U8, IF('LL Revascularisation Summary'!$P$3=1,P8))</f>
        <v>17</v>
      </c>
      <c r="X8" s="183">
        <f>IF('LL Revascularisation Summary'!$P$3=2, T8, IF('LL Revascularisation Summary'!$P$3=1,O8))</f>
        <v>10</v>
      </c>
      <c r="Y8" s="184">
        <f t="shared" si="5"/>
        <v>0.6633663366336634</v>
      </c>
      <c r="Z8" s="184">
        <f t="shared" si="6"/>
        <v>0.30693069306930693</v>
      </c>
      <c r="AA8" s="184">
        <f t="shared" si="7"/>
        <v>2.9702970297029702E-2</v>
      </c>
      <c r="AB8" s="8">
        <v>1</v>
      </c>
    </row>
    <row r="9" spans="1:28" x14ac:dyDescent="0.25">
      <c r="A9" t="s">
        <v>62</v>
      </c>
      <c r="B9" t="s">
        <v>63</v>
      </c>
      <c r="C9" s="95">
        <v>2</v>
      </c>
      <c r="D9" s="120" t="s">
        <v>227</v>
      </c>
      <c r="E9" s="165" t="s">
        <v>227</v>
      </c>
      <c r="F9" s="5">
        <v>0</v>
      </c>
      <c r="G9" s="5">
        <v>0</v>
      </c>
      <c r="H9" s="5">
        <v>18</v>
      </c>
      <c r="I9" s="96">
        <v>18</v>
      </c>
      <c r="J9" t="str">
        <f t="shared" si="0"/>
        <v>RMC</v>
      </c>
      <c r="K9" s="8" t="e">
        <v>#N/A</v>
      </c>
      <c r="L9" s="182" t="s">
        <v>227</v>
      </c>
      <c r="M9" s="8" t="e">
        <v>#VALUE!</v>
      </c>
      <c r="N9" s="8" t="e">
        <v>#VALUE!</v>
      </c>
      <c r="O9" s="8" t="e">
        <f t="shared" si="1"/>
        <v>#VALUE!</v>
      </c>
      <c r="P9" s="8" t="e">
        <f t="shared" si="2"/>
        <v>#VALUE!</v>
      </c>
      <c r="Q9" s="183" t="e">
        <v>#VALUE!</v>
      </c>
      <c r="R9" s="8">
        <v>0</v>
      </c>
      <c r="S9" s="8">
        <v>84</v>
      </c>
      <c r="T9" s="8" t="e">
        <f t="shared" si="3"/>
        <v>#VALUE!</v>
      </c>
      <c r="U9" s="8" t="e">
        <f t="shared" si="4"/>
        <v>#VALUE!</v>
      </c>
      <c r="V9" s="8" t="e">
        <f>IF('LL Revascularisation Summary'!$P$3=2, Q9, IF('LL Revascularisation Summary'!$P$3=1,L9))</f>
        <v>#VALUE!</v>
      </c>
      <c r="W9" s="183" t="e">
        <f>IF('LL Revascularisation Summary'!$P$3=2, U9, IF('LL Revascularisation Summary'!$P$3=1,P9))</f>
        <v>#VALUE!</v>
      </c>
      <c r="X9" s="183" t="e">
        <f>IF('LL Revascularisation Summary'!$P$3=2, T9, IF('LL Revascularisation Summary'!$P$3=1,O9))</f>
        <v>#VALUE!</v>
      </c>
      <c r="Y9" s="184">
        <f t="shared" si="5"/>
        <v>0</v>
      </c>
      <c r="Z9" s="184">
        <f t="shared" si="6"/>
        <v>0</v>
      </c>
      <c r="AA9" s="184">
        <f t="shared" si="7"/>
        <v>1</v>
      </c>
      <c r="AB9" s="8">
        <v>0</v>
      </c>
    </row>
    <row r="10" spans="1:28" x14ac:dyDescent="0.25">
      <c r="A10" t="s">
        <v>15</v>
      </c>
      <c r="B10" t="s">
        <v>16</v>
      </c>
      <c r="C10" s="95">
        <v>57</v>
      </c>
      <c r="D10" s="120" t="s">
        <v>964</v>
      </c>
      <c r="E10" s="162">
        <v>0.43999999761581421</v>
      </c>
      <c r="F10" s="5">
        <v>66</v>
      </c>
      <c r="G10" s="5">
        <v>13</v>
      </c>
      <c r="H10" s="5">
        <v>34</v>
      </c>
      <c r="I10" s="96">
        <v>113</v>
      </c>
      <c r="J10" t="str">
        <f t="shared" si="0"/>
        <v>RAE</v>
      </c>
      <c r="K10" s="8">
        <v>48</v>
      </c>
      <c r="L10" s="182">
        <v>6</v>
      </c>
      <c r="M10" s="8">
        <v>4</v>
      </c>
      <c r="N10" s="8">
        <v>9</v>
      </c>
      <c r="O10" s="8">
        <f t="shared" si="1"/>
        <v>2</v>
      </c>
      <c r="P10" s="8">
        <f t="shared" si="2"/>
        <v>3</v>
      </c>
      <c r="Q10" s="183">
        <v>44</v>
      </c>
      <c r="R10" s="8">
        <v>31</v>
      </c>
      <c r="S10" s="8">
        <v>57.999999999999993</v>
      </c>
      <c r="T10" s="8">
        <f t="shared" si="3"/>
        <v>13</v>
      </c>
      <c r="U10" s="8">
        <f t="shared" si="4"/>
        <v>13.999999999999993</v>
      </c>
      <c r="V10" s="8">
        <f>IF('LL Revascularisation Summary'!$P$3=2, Q10, IF('LL Revascularisation Summary'!$P$3=1,L10))</f>
        <v>44</v>
      </c>
      <c r="W10" s="183">
        <f>IF('LL Revascularisation Summary'!$P$3=2, U10, IF('LL Revascularisation Summary'!$P$3=1,P10))</f>
        <v>13.999999999999993</v>
      </c>
      <c r="X10" s="183">
        <f>IF('LL Revascularisation Summary'!$P$3=2, T10, IF('LL Revascularisation Summary'!$P$3=1,O10))</f>
        <v>13</v>
      </c>
      <c r="Y10" s="184">
        <f t="shared" si="5"/>
        <v>0.58407079646017701</v>
      </c>
      <c r="Z10" s="184">
        <f t="shared" si="6"/>
        <v>0.11504424778761062</v>
      </c>
      <c r="AA10" s="184">
        <f t="shared" si="7"/>
        <v>0.30088495575221241</v>
      </c>
      <c r="AB10" s="8">
        <v>1</v>
      </c>
    </row>
    <row r="11" spans="1:28" x14ac:dyDescent="0.25">
      <c r="A11" t="s">
        <v>107</v>
      </c>
      <c r="B11" t="s">
        <v>108</v>
      </c>
      <c r="C11" s="95">
        <v>0</v>
      </c>
      <c r="D11" s="120" t="s">
        <v>220</v>
      </c>
      <c r="E11" s="161" t="s">
        <v>220</v>
      </c>
      <c r="F11" s="5" t="s">
        <v>227</v>
      </c>
      <c r="G11" s="5" t="s">
        <v>227</v>
      </c>
      <c r="H11" s="5" t="s">
        <v>227</v>
      </c>
      <c r="I11" s="96" t="s">
        <v>227</v>
      </c>
      <c r="J11" t="str">
        <f t="shared" si="0"/>
        <v>RWY</v>
      </c>
      <c r="K11" s="8" t="e">
        <v>#N/A</v>
      </c>
      <c r="L11" s="182" t="s">
        <v>472</v>
      </c>
      <c r="M11" s="8" t="e">
        <v>#VALUE!</v>
      </c>
      <c r="N11" s="8" t="e">
        <v>#VALUE!</v>
      </c>
      <c r="O11" s="8" t="e">
        <f t="shared" si="1"/>
        <v>#VALUE!</v>
      </c>
      <c r="P11" s="8" t="e">
        <f t="shared" si="2"/>
        <v>#VALUE!</v>
      </c>
      <c r="Q11" s="183" t="e">
        <v>#VALUE!</v>
      </c>
      <c r="R11" s="8" t="e">
        <v>#VALUE!</v>
      </c>
      <c r="S11" s="8" t="e">
        <v>#VALUE!</v>
      </c>
      <c r="T11" s="8" t="e">
        <f t="shared" si="3"/>
        <v>#VALUE!</v>
      </c>
      <c r="U11" s="8" t="e">
        <f t="shared" si="4"/>
        <v>#VALUE!</v>
      </c>
      <c r="V11" s="8" t="e">
        <f>IF('LL Revascularisation Summary'!$P$3=2, Q11, IF('LL Revascularisation Summary'!$P$3=1,L11))</f>
        <v>#VALUE!</v>
      </c>
      <c r="W11" s="183" t="e">
        <f>IF('LL Revascularisation Summary'!$P$3=2, U11, IF('LL Revascularisation Summary'!$P$3=1,P11))</f>
        <v>#VALUE!</v>
      </c>
      <c r="X11" s="183" t="e">
        <f>IF('LL Revascularisation Summary'!$P$3=2, T11, IF('LL Revascularisation Summary'!$P$3=1,O11))</f>
        <v>#VALUE!</v>
      </c>
      <c r="Y11" s="184" t="e">
        <f t="shared" si="5"/>
        <v>#VALUE!</v>
      </c>
      <c r="Z11" s="184" t="e">
        <f t="shared" si="6"/>
        <v>#VALUE!</v>
      </c>
      <c r="AA11" s="184" t="e">
        <f t="shared" si="7"/>
        <v>#VALUE!</v>
      </c>
      <c r="AB11" s="8">
        <v>0</v>
      </c>
    </row>
    <row r="12" spans="1:28" x14ac:dyDescent="0.25">
      <c r="A12" t="s">
        <v>35</v>
      </c>
      <c r="B12" t="s">
        <v>36</v>
      </c>
      <c r="C12" s="95">
        <v>56</v>
      </c>
      <c r="D12" s="120" t="s">
        <v>962</v>
      </c>
      <c r="E12" s="162">
        <v>0.54000002145767212</v>
      </c>
      <c r="F12" s="5">
        <v>110</v>
      </c>
      <c r="G12" s="5">
        <v>43</v>
      </c>
      <c r="H12" s="5">
        <v>63</v>
      </c>
      <c r="I12" s="96">
        <v>216</v>
      </c>
      <c r="J12" t="str">
        <f t="shared" si="0"/>
        <v>RGT</v>
      </c>
      <c r="K12" s="8">
        <v>33</v>
      </c>
      <c r="L12" s="182">
        <v>5</v>
      </c>
      <c r="M12" s="8">
        <v>3</v>
      </c>
      <c r="N12" s="8">
        <v>8</v>
      </c>
      <c r="O12" s="8">
        <f t="shared" si="1"/>
        <v>2</v>
      </c>
      <c r="P12" s="8">
        <f t="shared" si="2"/>
        <v>3</v>
      </c>
      <c r="Q12" s="183">
        <v>54</v>
      </c>
      <c r="R12" s="8">
        <v>40</v>
      </c>
      <c r="S12" s="8">
        <v>67</v>
      </c>
      <c r="T12" s="8">
        <f t="shared" si="3"/>
        <v>14</v>
      </c>
      <c r="U12" s="8">
        <f t="shared" si="4"/>
        <v>13</v>
      </c>
      <c r="V12" s="8">
        <f>IF('LL Revascularisation Summary'!$P$3=2, Q12, IF('LL Revascularisation Summary'!$P$3=1,L12))</f>
        <v>54</v>
      </c>
      <c r="W12" s="183">
        <f>IF('LL Revascularisation Summary'!$P$3=2, U12, IF('LL Revascularisation Summary'!$P$3=1,P12))</f>
        <v>13</v>
      </c>
      <c r="X12" s="183">
        <f>IF('LL Revascularisation Summary'!$P$3=2, T12, IF('LL Revascularisation Summary'!$P$3=1,O12))</f>
        <v>14</v>
      </c>
      <c r="Y12" s="184">
        <f t="shared" si="5"/>
        <v>0.5092592592592593</v>
      </c>
      <c r="Z12" s="184">
        <f t="shared" si="6"/>
        <v>0.19907407407407407</v>
      </c>
      <c r="AA12" s="184">
        <f t="shared" si="7"/>
        <v>0.29166666666666669</v>
      </c>
      <c r="AB12" s="8">
        <v>1</v>
      </c>
    </row>
    <row r="13" spans="1:28" x14ac:dyDescent="0.25">
      <c r="A13" t="s">
        <v>3</v>
      </c>
      <c r="B13" t="s">
        <v>4</v>
      </c>
      <c r="C13" s="95">
        <v>113</v>
      </c>
      <c r="D13" s="120" t="s">
        <v>962</v>
      </c>
      <c r="E13" s="162">
        <v>0.51999998092651367</v>
      </c>
      <c r="F13" s="5">
        <v>106</v>
      </c>
      <c r="G13" s="5">
        <v>24</v>
      </c>
      <c r="H13" s="5">
        <v>119</v>
      </c>
      <c r="I13" s="96">
        <v>249</v>
      </c>
      <c r="J13" t="str">
        <f t="shared" si="0"/>
        <v>7A4</v>
      </c>
      <c r="K13" s="8">
        <v>35</v>
      </c>
      <c r="L13" s="182">
        <v>5</v>
      </c>
      <c r="M13" s="8">
        <v>3</v>
      </c>
      <c r="N13" s="8">
        <v>8</v>
      </c>
      <c r="O13" s="8">
        <f t="shared" si="1"/>
        <v>2</v>
      </c>
      <c r="P13" s="8">
        <f t="shared" si="2"/>
        <v>3</v>
      </c>
      <c r="Q13" s="183">
        <v>52</v>
      </c>
      <c r="R13" s="8">
        <v>43</v>
      </c>
      <c r="S13" s="8">
        <v>62</v>
      </c>
      <c r="T13" s="8">
        <f t="shared" si="3"/>
        <v>9</v>
      </c>
      <c r="U13" s="8">
        <f t="shared" si="4"/>
        <v>10</v>
      </c>
      <c r="V13" s="8">
        <f>IF('LL Revascularisation Summary'!$P$3=2, Q13, IF('LL Revascularisation Summary'!$P$3=1,L13))</f>
        <v>52</v>
      </c>
      <c r="W13" s="183">
        <f>IF('LL Revascularisation Summary'!$P$3=2, U13, IF('LL Revascularisation Summary'!$P$3=1,P13))</f>
        <v>10</v>
      </c>
      <c r="X13" s="183">
        <f>IF('LL Revascularisation Summary'!$P$3=2, T13, IF('LL Revascularisation Summary'!$P$3=1,O13))</f>
        <v>9</v>
      </c>
      <c r="Y13" s="184">
        <f t="shared" si="5"/>
        <v>0.42570281124497994</v>
      </c>
      <c r="Z13" s="184">
        <f t="shared" si="6"/>
        <v>9.6385542168674704E-2</v>
      </c>
      <c r="AA13" s="184">
        <f t="shared" si="7"/>
        <v>0.47791164658634538</v>
      </c>
      <c r="AB13" s="8">
        <v>1</v>
      </c>
    </row>
    <row r="14" spans="1:28" x14ac:dyDescent="0.25">
      <c r="A14" t="s">
        <v>51</v>
      </c>
      <c r="B14" t="s">
        <v>52</v>
      </c>
      <c r="C14" s="95">
        <v>91</v>
      </c>
      <c r="D14" s="120" t="s">
        <v>190</v>
      </c>
      <c r="E14" s="162">
        <v>0.47999998927116394</v>
      </c>
      <c r="F14" s="5">
        <v>112</v>
      </c>
      <c r="G14" s="5">
        <v>30</v>
      </c>
      <c r="H14" s="5">
        <v>179</v>
      </c>
      <c r="I14" s="96">
        <v>321</v>
      </c>
      <c r="J14" t="str">
        <f t="shared" si="0"/>
        <v>RJR</v>
      </c>
      <c r="K14" s="8">
        <v>43</v>
      </c>
      <c r="L14" s="182">
        <v>6</v>
      </c>
      <c r="M14" s="8">
        <v>3</v>
      </c>
      <c r="N14" s="8">
        <v>8</v>
      </c>
      <c r="O14" s="8">
        <f t="shared" si="1"/>
        <v>3</v>
      </c>
      <c r="P14" s="8">
        <f t="shared" si="2"/>
        <v>2</v>
      </c>
      <c r="Q14" s="183">
        <v>48</v>
      </c>
      <c r="R14" s="8">
        <v>38</v>
      </c>
      <c r="S14" s="8">
        <v>59</v>
      </c>
      <c r="T14" s="8">
        <f t="shared" si="3"/>
        <v>10</v>
      </c>
      <c r="U14" s="8">
        <f t="shared" si="4"/>
        <v>11</v>
      </c>
      <c r="V14" s="8">
        <f>IF('LL Revascularisation Summary'!$P$3=2, Q14, IF('LL Revascularisation Summary'!$P$3=1,L14))</f>
        <v>48</v>
      </c>
      <c r="W14" s="183">
        <f>IF('LL Revascularisation Summary'!$P$3=2, U14, IF('LL Revascularisation Summary'!$P$3=1,P14))</f>
        <v>11</v>
      </c>
      <c r="X14" s="183">
        <f>IF('LL Revascularisation Summary'!$P$3=2, T14, IF('LL Revascularisation Summary'!$P$3=1,O14))</f>
        <v>10</v>
      </c>
      <c r="Y14" s="184">
        <f t="shared" si="5"/>
        <v>0.34890965732087226</v>
      </c>
      <c r="Z14" s="184">
        <f t="shared" si="6"/>
        <v>9.3457943925233641E-2</v>
      </c>
      <c r="AA14" s="184">
        <f t="shared" si="7"/>
        <v>0.55763239875389403</v>
      </c>
      <c r="AB14" s="8">
        <v>1</v>
      </c>
    </row>
    <row r="15" spans="1:28" x14ac:dyDescent="0.25">
      <c r="A15" t="s">
        <v>5</v>
      </c>
      <c r="B15" t="s">
        <v>292</v>
      </c>
      <c r="C15" s="95">
        <v>0</v>
      </c>
      <c r="D15" s="120" t="s">
        <v>220</v>
      </c>
      <c r="E15" s="161" t="s">
        <v>220</v>
      </c>
      <c r="F15" s="5" t="s">
        <v>227</v>
      </c>
      <c r="G15" s="5" t="s">
        <v>227</v>
      </c>
      <c r="H15" s="5" t="s">
        <v>227</v>
      </c>
      <c r="I15" s="96" t="s">
        <v>227</v>
      </c>
      <c r="J15" t="str">
        <f t="shared" si="0"/>
        <v>7A5</v>
      </c>
      <c r="K15" s="8" t="e">
        <v>#N/A</v>
      </c>
      <c r="L15" s="182" t="s">
        <v>472</v>
      </c>
      <c r="M15" s="8" t="e">
        <v>#VALUE!</v>
      </c>
      <c r="N15" s="8" t="e">
        <v>#VALUE!</v>
      </c>
      <c r="O15" s="8" t="e">
        <f t="shared" si="1"/>
        <v>#VALUE!</v>
      </c>
      <c r="P15" s="8" t="e">
        <f t="shared" si="2"/>
        <v>#VALUE!</v>
      </c>
      <c r="Q15" s="183" t="e">
        <v>#VALUE!</v>
      </c>
      <c r="R15" s="8" t="e">
        <v>#VALUE!</v>
      </c>
      <c r="S15" s="8" t="e">
        <v>#VALUE!</v>
      </c>
      <c r="T15" s="8" t="e">
        <f t="shared" si="3"/>
        <v>#VALUE!</v>
      </c>
      <c r="U15" s="8" t="e">
        <f t="shared" si="4"/>
        <v>#VALUE!</v>
      </c>
      <c r="V15" s="8" t="e">
        <f>IF('LL Revascularisation Summary'!$P$3=2, Q15, IF('LL Revascularisation Summary'!$P$3=1,L15))</f>
        <v>#VALUE!</v>
      </c>
      <c r="W15" s="183" t="e">
        <f>IF('LL Revascularisation Summary'!$P$3=2, U15, IF('LL Revascularisation Summary'!$P$3=1,P15))</f>
        <v>#VALUE!</v>
      </c>
      <c r="X15" s="183" t="e">
        <f>IF('LL Revascularisation Summary'!$P$3=2, T15, IF('LL Revascularisation Summary'!$P$3=1,O15))</f>
        <v>#VALUE!</v>
      </c>
      <c r="Y15" s="184" t="e">
        <f t="shared" si="5"/>
        <v>#VALUE!</v>
      </c>
      <c r="Z15" s="184" t="e">
        <f t="shared" si="6"/>
        <v>#VALUE!</v>
      </c>
      <c r="AA15" s="184" t="e">
        <f t="shared" si="7"/>
        <v>#VALUE!</v>
      </c>
      <c r="AB15" s="8">
        <v>0</v>
      </c>
    </row>
    <row r="16" spans="1:28" x14ac:dyDescent="0.25">
      <c r="A16" t="s">
        <v>68</v>
      </c>
      <c r="B16" t="s">
        <v>293</v>
      </c>
      <c r="C16" s="95">
        <v>7</v>
      </c>
      <c r="D16" s="120" t="s">
        <v>227</v>
      </c>
      <c r="E16" s="162" t="s">
        <v>227</v>
      </c>
      <c r="F16" s="5">
        <v>8</v>
      </c>
      <c r="G16" s="5">
        <v>1</v>
      </c>
      <c r="H16" s="5">
        <v>3</v>
      </c>
      <c r="I16" s="96">
        <v>12</v>
      </c>
      <c r="J16" t="str">
        <f t="shared" si="0"/>
        <v>RP5</v>
      </c>
      <c r="K16" s="8" t="e">
        <v>#N/A</v>
      </c>
      <c r="L16" s="182" t="s">
        <v>472</v>
      </c>
      <c r="M16" s="8" t="e">
        <v>#VALUE!</v>
      </c>
      <c r="N16" s="8" t="e">
        <v>#VALUE!</v>
      </c>
      <c r="O16" s="8" t="e">
        <f t="shared" si="1"/>
        <v>#VALUE!</v>
      </c>
      <c r="P16" s="8" t="e">
        <f t="shared" si="2"/>
        <v>#VALUE!</v>
      </c>
      <c r="Q16" s="183" t="e">
        <v>#VALUE!</v>
      </c>
      <c r="R16" s="8">
        <v>28.999999999999996</v>
      </c>
      <c r="S16" s="8">
        <v>96</v>
      </c>
      <c r="T16" s="8" t="e">
        <f t="shared" si="3"/>
        <v>#VALUE!</v>
      </c>
      <c r="U16" s="8" t="e">
        <f t="shared" si="4"/>
        <v>#VALUE!</v>
      </c>
      <c r="V16" s="8" t="e">
        <f>IF('LL Revascularisation Summary'!$P$3=2, Q16, IF('LL Revascularisation Summary'!$P$3=1,L16))</f>
        <v>#VALUE!</v>
      </c>
      <c r="W16" s="183" t="e">
        <f>IF('LL Revascularisation Summary'!$P$3=2, U16, IF('LL Revascularisation Summary'!$P$3=1,P16))</f>
        <v>#VALUE!</v>
      </c>
      <c r="X16" s="183" t="e">
        <f>IF('LL Revascularisation Summary'!$P$3=2, T16, IF('LL Revascularisation Summary'!$P$3=1,O16))</f>
        <v>#VALUE!</v>
      </c>
      <c r="Y16" s="184">
        <f t="shared" si="5"/>
        <v>0.66666666666666663</v>
      </c>
      <c r="Z16" s="184">
        <f t="shared" si="6"/>
        <v>8.3333333333333329E-2</v>
      </c>
      <c r="AA16" s="184">
        <f t="shared" si="7"/>
        <v>0.25</v>
      </c>
      <c r="AB16" s="8">
        <v>1</v>
      </c>
    </row>
    <row r="17" spans="1:28" x14ac:dyDescent="0.25">
      <c r="A17" t="s">
        <v>103</v>
      </c>
      <c r="B17" t="s">
        <v>104</v>
      </c>
      <c r="C17" s="95">
        <v>32</v>
      </c>
      <c r="D17" s="120" t="s">
        <v>965</v>
      </c>
      <c r="E17" s="162">
        <v>0.75</v>
      </c>
      <c r="F17" s="5">
        <v>13</v>
      </c>
      <c r="G17" s="5">
        <v>10</v>
      </c>
      <c r="H17" s="5">
        <v>60</v>
      </c>
      <c r="I17" s="96">
        <v>83</v>
      </c>
      <c r="J17" t="str">
        <f t="shared" si="0"/>
        <v>RWH</v>
      </c>
      <c r="K17" s="8">
        <v>3</v>
      </c>
      <c r="L17" s="182">
        <v>1</v>
      </c>
      <c r="M17" s="8">
        <v>0</v>
      </c>
      <c r="N17" s="8">
        <v>6</v>
      </c>
      <c r="O17" s="8">
        <f t="shared" si="1"/>
        <v>1</v>
      </c>
      <c r="P17" s="8">
        <f t="shared" si="2"/>
        <v>5</v>
      </c>
      <c r="Q17" s="183">
        <v>75</v>
      </c>
      <c r="R17" s="8">
        <v>56.999999999999993</v>
      </c>
      <c r="S17" s="8">
        <v>89</v>
      </c>
      <c r="T17" s="8">
        <f t="shared" si="3"/>
        <v>18.000000000000007</v>
      </c>
      <c r="U17" s="8">
        <f t="shared" si="4"/>
        <v>14</v>
      </c>
      <c r="V17" s="8">
        <f>IF('LL Revascularisation Summary'!$P$3=2, Q17, IF('LL Revascularisation Summary'!$P$3=1,L17))</f>
        <v>75</v>
      </c>
      <c r="W17" s="183">
        <f>IF('LL Revascularisation Summary'!$P$3=2, U17, IF('LL Revascularisation Summary'!$P$3=1,P17))</f>
        <v>14</v>
      </c>
      <c r="X17" s="183">
        <f>IF('LL Revascularisation Summary'!$P$3=2, T17, IF('LL Revascularisation Summary'!$P$3=1,O17))</f>
        <v>18.000000000000007</v>
      </c>
      <c r="Y17" s="184">
        <f t="shared" si="5"/>
        <v>0.15662650602409639</v>
      </c>
      <c r="Z17" s="184">
        <f t="shared" si="6"/>
        <v>0.12048192771084337</v>
      </c>
      <c r="AA17" s="184">
        <f t="shared" si="7"/>
        <v>0.72289156626506024</v>
      </c>
      <c r="AB17" s="8">
        <v>1</v>
      </c>
    </row>
    <row r="18" spans="1:28" x14ac:dyDescent="0.25">
      <c r="A18" t="s">
        <v>94</v>
      </c>
      <c r="B18" t="s">
        <v>95</v>
      </c>
      <c r="C18" s="95">
        <v>28</v>
      </c>
      <c r="D18" s="120" t="s">
        <v>966</v>
      </c>
      <c r="E18" s="162">
        <v>0.56999999284744263</v>
      </c>
      <c r="F18" s="5">
        <v>37</v>
      </c>
      <c r="G18" s="5">
        <v>48</v>
      </c>
      <c r="H18" s="5">
        <v>22</v>
      </c>
      <c r="I18" s="96">
        <v>107</v>
      </c>
      <c r="J18" t="str">
        <f t="shared" si="0"/>
        <v>RVV</v>
      </c>
      <c r="K18" s="8">
        <v>26</v>
      </c>
      <c r="L18" s="182">
        <v>4</v>
      </c>
      <c r="M18" s="8">
        <v>1</v>
      </c>
      <c r="N18" s="8">
        <v>8</v>
      </c>
      <c r="O18" s="8">
        <f t="shared" si="1"/>
        <v>3</v>
      </c>
      <c r="P18" s="8">
        <f t="shared" si="2"/>
        <v>4</v>
      </c>
      <c r="Q18" s="183">
        <v>57</v>
      </c>
      <c r="R18" s="8">
        <v>37</v>
      </c>
      <c r="S18" s="8">
        <v>76</v>
      </c>
      <c r="T18" s="8">
        <f t="shared" si="3"/>
        <v>20</v>
      </c>
      <c r="U18" s="8">
        <f t="shared" si="4"/>
        <v>19</v>
      </c>
      <c r="V18" s="8">
        <f>IF('LL Revascularisation Summary'!$P$3=2, Q18, IF('LL Revascularisation Summary'!$P$3=1,L18))</f>
        <v>57</v>
      </c>
      <c r="W18" s="183">
        <f>IF('LL Revascularisation Summary'!$P$3=2, U18, IF('LL Revascularisation Summary'!$P$3=1,P18))</f>
        <v>19</v>
      </c>
      <c r="X18" s="183">
        <f>IF('LL Revascularisation Summary'!$P$3=2, T18, IF('LL Revascularisation Summary'!$P$3=1,O18))</f>
        <v>20</v>
      </c>
      <c r="Y18" s="184">
        <f t="shared" si="5"/>
        <v>0.34579439252336447</v>
      </c>
      <c r="Z18" s="184">
        <f t="shared" si="6"/>
        <v>0.44859813084112149</v>
      </c>
      <c r="AA18" s="184">
        <f t="shared" si="7"/>
        <v>0.20560747663551401</v>
      </c>
      <c r="AB18" s="8">
        <v>1</v>
      </c>
    </row>
    <row r="19" spans="1:28" x14ac:dyDescent="0.25">
      <c r="A19" t="s">
        <v>115</v>
      </c>
      <c r="B19" t="s">
        <v>116</v>
      </c>
      <c r="C19" s="95">
        <v>55</v>
      </c>
      <c r="D19" s="120" t="s">
        <v>198</v>
      </c>
      <c r="E19" s="113">
        <v>0.73000001907348633</v>
      </c>
      <c r="F19" s="5">
        <v>87</v>
      </c>
      <c r="G19" s="5">
        <v>69</v>
      </c>
      <c r="H19" s="5">
        <v>192</v>
      </c>
      <c r="I19" s="96">
        <v>348</v>
      </c>
      <c r="J19" t="str">
        <f t="shared" si="0"/>
        <v>RXR</v>
      </c>
      <c r="K19" s="8">
        <v>4</v>
      </c>
      <c r="L19" s="182">
        <v>3</v>
      </c>
      <c r="M19" s="8">
        <v>1</v>
      </c>
      <c r="N19" s="8">
        <v>6</v>
      </c>
      <c r="O19" s="8">
        <f t="shared" si="1"/>
        <v>2</v>
      </c>
      <c r="P19" s="8">
        <f t="shared" si="2"/>
        <v>3</v>
      </c>
      <c r="Q19" s="183">
        <v>73</v>
      </c>
      <c r="R19" s="8">
        <v>59</v>
      </c>
      <c r="S19" s="8">
        <v>84</v>
      </c>
      <c r="T19" s="8">
        <f t="shared" si="3"/>
        <v>14</v>
      </c>
      <c r="U19" s="8">
        <f t="shared" si="4"/>
        <v>11</v>
      </c>
      <c r="V19" s="8">
        <f>IF('LL Revascularisation Summary'!$P$3=2, Q19, IF('LL Revascularisation Summary'!$P$3=1,L19))</f>
        <v>73</v>
      </c>
      <c r="W19" s="183">
        <f>IF('LL Revascularisation Summary'!$P$3=2, U19, IF('LL Revascularisation Summary'!$P$3=1,P19))</f>
        <v>11</v>
      </c>
      <c r="X19" s="183">
        <f>IF('LL Revascularisation Summary'!$P$3=2, T19, IF('LL Revascularisation Summary'!$P$3=1,O19))</f>
        <v>14</v>
      </c>
      <c r="Y19" s="184">
        <f t="shared" si="5"/>
        <v>0.25</v>
      </c>
      <c r="Z19" s="184">
        <f t="shared" si="6"/>
        <v>0.19827586206896552</v>
      </c>
      <c r="AA19" s="184">
        <f t="shared" si="7"/>
        <v>0.55172413793103448</v>
      </c>
      <c r="AB19" s="8">
        <v>1</v>
      </c>
    </row>
    <row r="20" spans="1:28" x14ac:dyDescent="0.25">
      <c r="A20" t="s">
        <v>24</v>
      </c>
      <c r="B20" t="s">
        <v>160</v>
      </c>
      <c r="C20" s="95">
        <v>70</v>
      </c>
      <c r="D20" s="120" t="s">
        <v>967</v>
      </c>
      <c r="E20" s="165">
        <v>0.56000000238418579</v>
      </c>
      <c r="F20" s="5">
        <v>46</v>
      </c>
      <c r="G20" s="5">
        <v>48</v>
      </c>
      <c r="H20" s="5">
        <v>308</v>
      </c>
      <c r="I20" s="96">
        <v>402</v>
      </c>
      <c r="J20" t="str">
        <f t="shared" si="0"/>
        <v>RDE</v>
      </c>
      <c r="K20" s="8">
        <v>28</v>
      </c>
      <c r="L20" s="182">
        <v>5</v>
      </c>
      <c r="M20" s="8">
        <v>2</v>
      </c>
      <c r="N20" s="8">
        <v>8</v>
      </c>
      <c r="O20" s="8">
        <f t="shared" si="1"/>
        <v>3</v>
      </c>
      <c r="P20" s="8">
        <f t="shared" si="2"/>
        <v>3</v>
      </c>
      <c r="Q20" s="183">
        <v>56</v>
      </c>
      <c r="R20" s="8">
        <v>43</v>
      </c>
      <c r="S20" s="8">
        <v>68</v>
      </c>
      <c r="T20" s="8">
        <f t="shared" si="3"/>
        <v>13</v>
      </c>
      <c r="U20" s="8">
        <f t="shared" si="4"/>
        <v>12</v>
      </c>
      <c r="V20" s="8">
        <f>IF('LL Revascularisation Summary'!$P$3=2, Q20, IF('LL Revascularisation Summary'!$P$3=1,L20))</f>
        <v>56</v>
      </c>
      <c r="W20" s="183">
        <f>IF('LL Revascularisation Summary'!$P$3=2, U20, IF('LL Revascularisation Summary'!$P$3=1,P20))</f>
        <v>12</v>
      </c>
      <c r="X20" s="183">
        <f>IF('LL Revascularisation Summary'!$P$3=2, T20, IF('LL Revascularisation Summary'!$P$3=1,O20))</f>
        <v>13</v>
      </c>
      <c r="Y20" s="184">
        <f t="shared" si="5"/>
        <v>0.11442786069651742</v>
      </c>
      <c r="Z20" s="184">
        <f t="shared" si="6"/>
        <v>0.11940298507462686</v>
      </c>
      <c r="AA20" s="184">
        <f t="shared" si="7"/>
        <v>0.76616915422885568</v>
      </c>
      <c r="AB20" s="8">
        <v>1</v>
      </c>
    </row>
    <row r="21" spans="1:28" x14ac:dyDescent="0.25">
      <c r="A21" t="s">
        <v>25</v>
      </c>
      <c r="B21" t="s">
        <v>26</v>
      </c>
      <c r="C21" s="95">
        <v>57</v>
      </c>
      <c r="D21" s="120" t="s">
        <v>190</v>
      </c>
      <c r="E21" s="162">
        <v>0.49000000953674316</v>
      </c>
      <c r="F21" s="5">
        <v>103</v>
      </c>
      <c r="G21" s="5">
        <v>32</v>
      </c>
      <c r="H21" s="5">
        <v>84</v>
      </c>
      <c r="I21" s="96">
        <v>219</v>
      </c>
      <c r="J21" t="str">
        <f t="shared" si="0"/>
        <v>RDU</v>
      </c>
      <c r="K21" s="8">
        <v>40</v>
      </c>
      <c r="L21" s="182">
        <v>6</v>
      </c>
      <c r="M21" s="8">
        <v>3</v>
      </c>
      <c r="N21" s="8">
        <v>8</v>
      </c>
      <c r="O21" s="8">
        <f t="shared" si="1"/>
        <v>3</v>
      </c>
      <c r="P21" s="8">
        <f t="shared" si="2"/>
        <v>2</v>
      </c>
      <c r="Q21" s="183">
        <v>49</v>
      </c>
      <c r="R21" s="8">
        <v>36</v>
      </c>
      <c r="S21" s="8">
        <v>63</v>
      </c>
      <c r="T21" s="8">
        <f t="shared" si="3"/>
        <v>13</v>
      </c>
      <c r="U21" s="8">
        <f t="shared" si="4"/>
        <v>14</v>
      </c>
      <c r="V21" s="8">
        <f>IF('LL Revascularisation Summary'!$P$3=2, Q21, IF('LL Revascularisation Summary'!$P$3=1,L21))</f>
        <v>49</v>
      </c>
      <c r="W21" s="183">
        <f>IF('LL Revascularisation Summary'!$P$3=2, U21, IF('LL Revascularisation Summary'!$P$3=1,P21))</f>
        <v>14</v>
      </c>
      <c r="X21" s="183">
        <f>IF('LL Revascularisation Summary'!$P$3=2, T21, IF('LL Revascularisation Summary'!$P$3=1,O21))</f>
        <v>13</v>
      </c>
      <c r="Y21" s="184">
        <f t="shared" si="5"/>
        <v>0.47031963470319632</v>
      </c>
      <c r="Z21" s="184">
        <f t="shared" si="6"/>
        <v>0.14611872146118721</v>
      </c>
      <c r="AA21" s="184">
        <f t="shared" si="7"/>
        <v>0.38356164383561642</v>
      </c>
      <c r="AB21" s="8">
        <v>1</v>
      </c>
    </row>
    <row r="22" spans="1:28" x14ac:dyDescent="0.25">
      <c r="A22" t="s">
        <v>73</v>
      </c>
      <c r="B22" t="s">
        <v>74</v>
      </c>
      <c r="C22" s="95">
        <v>0</v>
      </c>
      <c r="D22" s="120" t="s">
        <v>227</v>
      </c>
      <c r="E22" s="165" t="s">
        <v>227</v>
      </c>
      <c r="F22" s="5">
        <v>0</v>
      </c>
      <c r="G22" s="5">
        <v>0</v>
      </c>
      <c r="H22" s="5">
        <v>1</v>
      </c>
      <c r="I22" s="96">
        <v>1</v>
      </c>
      <c r="J22" t="str">
        <f t="shared" si="0"/>
        <v>RR7</v>
      </c>
      <c r="K22" s="8" t="e">
        <v>#N/A</v>
      </c>
      <c r="L22" s="182" t="s">
        <v>227</v>
      </c>
      <c r="M22" s="8" t="e">
        <v>#VALUE!</v>
      </c>
      <c r="N22" s="8" t="e">
        <v>#VALUE!</v>
      </c>
      <c r="O22" s="8" t="e">
        <f t="shared" si="1"/>
        <v>#VALUE!</v>
      </c>
      <c r="P22" s="8" t="e">
        <f t="shared" si="2"/>
        <v>#VALUE!</v>
      </c>
      <c r="Q22" s="183" t="e">
        <v>#VALUE!</v>
      </c>
      <c r="R22" s="8" t="e">
        <v>#VALUE!</v>
      </c>
      <c r="S22" s="8" t="e">
        <v>#VALUE!</v>
      </c>
      <c r="T22" s="8" t="e">
        <f t="shared" si="3"/>
        <v>#VALUE!</v>
      </c>
      <c r="U22" s="8" t="e">
        <f t="shared" si="4"/>
        <v>#VALUE!</v>
      </c>
      <c r="V22" s="8" t="e">
        <f>IF('LL Revascularisation Summary'!$P$3=2, Q22, IF('LL Revascularisation Summary'!$P$3=1,L22))</f>
        <v>#VALUE!</v>
      </c>
      <c r="W22" s="183" t="e">
        <f>IF('LL Revascularisation Summary'!$P$3=2, U22, IF('LL Revascularisation Summary'!$P$3=1,P22))</f>
        <v>#VALUE!</v>
      </c>
      <c r="X22" s="183" t="e">
        <f>IF('LL Revascularisation Summary'!$P$3=2, T22, IF('LL Revascularisation Summary'!$P$3=1,O22))</f>
        <v>#VALUE!</v>
      </c>
      <c r="Y22" s="184">
        <f t="shared" si="5"/>
        <v>0</v>
      </c>
      <c r="Z22" s="184">
        <f t="shared" si="6"/>
        <v>0</v>
      </c>
      <c r="AA22" s="184">
        <f t="shared" si="7"/>
        <v>1</v>
      </c>
      <c r="AB22" s="8">
        <v>0</v>
      </c>
    </row>
    <row r="23" spans="1:28" x14ac:dyDescent="0.25">
      <c r="A23" t="s">
        <v>85</v>
      </c>
      <c r="B23" t="s">
        <v>86</v>
      </c>
      <c r="C23" s="95">
        <v>56</v>
      </c>
      <c r="D23" s="120" t="s">
        <v>164</v>
      </c>
      <c r="E23" s="162">
        <v>0.5899999737739563</v>
      </c>
      <c r="F23" s="5">
        <v>69</v>
      </c>
      <c r="G23" s="5">
        <v>35</v>
      </c>
      <c r="H23" s="5">
        <v>71</v>
      </c>
      <c r="I23" s="96">
        <v>175</v>
      </c>
      <c r="J23" t="str">
        <f t="shared" si="0"/>
        <v>RTE</v>
      </c>
      <c r="K23" s="8">
        <v>25</v>
      </c>
      <c r="L23" s="182">
        <v>5</v>
      </c>
      <c r="M23" s="8">
        <v>3</v>
      </c>
      <c r="N23" s="8">
        <v>7</v>
      </c>
      <c r="O23" s="8">
        <f t="shared" si="1"/>
        <v>2</v>
      </c>
      <c r="P23" s="8">
        <f t="shared" si="2"/>
        <v>2</v>
      </c>
      <c r="Q23" s="183">
        <v>59</v>
      </c>
      <c r="R23" s="8">
        <v>45</v>
      </c>
      <c r="S23" s="8">
        <v>72</v>
      </c>
      <c r="T23" s="8">
        <f t="shared" si="3"/>
        <v>14</v>
      </c>
      <c r="U23" s="8">
        <f t="shared" si="4"/>
        <v>13</v>
      </c>
      <c r="V23" s="8">
        <f>IF('LL Revascularisation Summary'!$P$3=2, Q23, IF('LL Revascularisation Summary'!$P$3=1,L23))</f>
        <v>59</v>
      </c>
      <c r="W23" s="183">
        <f>IF('LL Revascularisation Summary'!$P$3=2, U23, IF('LL Revascularisation Summary'!$P$3=1,P23))</f>
        <v>13</v>
      </c>
      <c r="X23" s="183">
        <f>IF('LL Revascularisation Summary'!$P$3=2, T23, IF('LL Revascularisation Summary'!$P$3=1,O23))</f>
        <v>14</v>
      </c>
      <c r="Y23" s="184">
        <f t="shared" si="5"/>
        <v>0.39428571428571429</v>
      </c>
      <c r="Z23" s="184">
        <f t="shared" si="6"/>
        <v>0.2</v>
      </c>
      <c r="AA23" s="184">
        <f t="shared" si="7"/>
        <v>0.40571428571428569</v>
      </c>
      <c r="AB23" s="8">
        <v>1</v>
      </c>
    </row>
    <row r="24" spans="1:28" x14ac:dyDescent="0.25">
      <c r="A24" t="s">
        <v>181</v>
      </c>
      <c r="B24" t="s">
        <v>224</v>
      </c>
      <c r="C24" s="95">
        <v>0</v>
      </c>
      <c r="D24" s="120" t="s">
        <v>227</v>
      </c>
      <c r="E24" s="165" t="s">
        <v>227</v>
      </c>
      <c r="F24" s="5">
        <v>0</v>
      </c>
      <c r="G24" s="5">
        <v>1</v>
      </c>
      <c r="H24" s="5">
        <v>9</v>
      </c>
      <c r="I24" s="96">
        <v>10</v>
      </c>
      <c r="J24" t="str">
        <f t="shared" si="0"/>
        <v>RN3</v>
      </c>
      <c r="K24" s="8" t="e">
        <v>#N/A</v>
      </c>
      <c r="L24" s="182" t="s">
        <v>227</v>
      </c>
      <c r="M24" s="8" t="e">
        <v>#VALUE!</v>
      </c>
      <c r="N24" s="8" t="e">
        <v>#VALUE!</v>
      </c>
      <c r="O24" s="8" t="e">
        <f t="shared" si="1"/>
        <v>#VALUE!</v>
      </c>
      <c r="P24" s="8" t="e">
        <f t="shared" si="2"/>
        <v>#VALUE!</v>
      </c>
      <c r="Q24" s="183" t="e">
        <v>#VALUE!</v>
      </c>
      <c r="R24" s="8" t="e">
        <v>#VALUE!</v>
      </c>
      <c r="S24" s="8" t="e">
        <v>#VALUE!</v>
      </c>
      <c r="T24" s="8" t="e">
        <f t="shared" si="3"/>
        <v>#VALUE!</v>
      </c>
      <c r="U24" s="8" t="e">
        <f t="shared" si="4"/>
        <v>#VALUE!</v>
      </c>
      <c r="V24" s="8" t="e">
        <f>IF('LL Revascularisation Summary'!$P$3=2, Q24, IF('LL Revascularisation Summary'!$P$3=1,L24))</f>
        <v>#VALUE!</v>
      </c>
      <c r="W24" s="183" t="e">
        <f>IF('LL Revascularisation Summary'!$P$3=2, U24, IF('LL Revascularisation Summary'!$P$3=1,P24))</f>
        <v>#VALUE!</v>
      </c>
      <c r="X24" s="183" t="e">
        <f>IF('LL Revascularisation Summary'!$P$3=2, T24, IF('LL Revascularisation Summary'!$P$3=1,O24))</f>
        <v>#VALUE!</v>
      </c>
      <c r="Y24" s="184">
        <f t="shared" si="5"/>
        <v>0</v>
      </c>
      <c r="Z24" s="184">
        <f t="shared" si="6"/>
        <v>0.1</v>
      </c>
      <c r="AA24" s="184">
        <f t="shared" si="7"/>
        <v>0.9</v>
      </c>
      <c r="AB24" s="8">
        <v>0</v>
      </c>
    </row>
    <row r="25" spans="1:28" x14ac:dyDescent="0.25">
      <c r="A25" t="s">
        <v>45</v>
      </c>
      <c r="B25" t="s">
        <v>46</v>
      </c>
      <c r="C25" s="95">
        <v>192</v>
      </c>
      <c r="D25" s="120" t="s">
        <v>968</v>
      </c>
      <c r="E25" s="162">
        <v>0.30000001192092896</v>
      </c>
      <c r="F25" s="5">
        <v>65</v>
      </c>
      <c r="G25" s="5">
        <v>91</v>
      </c>
      <c r="H25" s="5">
        <v>385</v>
      </c>
      <c r="I25" s="96">
        <v>541</v>
      </c>
      <c r="J25" t="str">
        <f t="shared" si="0"/>
        <v>RJ1</v>
      </c>
      <c r="K25" s="8">
        <v>56</v>
      </c>
      <c r="L25" s="182">
        <v>8</v>
      </c>
      <c r="M25" s="8">
        <v>5</v>
      </c>
      <c r="N25" s="8">
        <v>12</v>
      </c>
      <c r="O25" s="8">
        <f t="shared" si="1"/>
        <v>3</v>
      </c>
      <c r="P25" s="8">
        <f t="shared" si="2"/>
        <v>4</v>
      </c>
      <c r="Q25" s="183">
        <v>30</v>
      </c>
      <c r="R25" s="8">
        <v>24</v>
      </c>
      <c r="S25" s="8">
        <v>37</v>
      </c>
      <c r="T25" s="8">
        <f t="shared" si="3"/>
        <v>6</v>
      </c>
      <c r="U25" s="8">
        <f t="shared" si="4"/>
        <v>7</v>
      </c>
      <c r="V25" s="8">
        <f>IF('LL Revascularisation Summary'!$P$3=2, Q25, IF('LL Revascularisation Summary'!$P$3=1,L25))</f>
        <v>30</v>
      </c>
      <c r="W25" s="183">
        <f>IF('LL Revascularisation Summary'!$P$3=2, U25, IF('LL Revascularisation Summary'!$P$3=1,P25))</f>
        <v>7</v>
      </c>
      <c r="X25" s="183">
        <f>IF('LL Revascularisation Summary'!$P$3=2, T25, IF('LL Revascularisation Summary'!$P$3=1,O25))</f>
        <v>6</v>
      </c>
      <c r="Y25" s="184">
        <f t="shared" si="5"/>
        <v>0.12014787430683918</v>
      </c>
      <c r="Z25" s="184">
        <f t="shared" si="6"/>
        <v>0.16820702402957485</v>
      </c>
      <c r="AA25" s="184">
        <f t="shared" si="7"/>
        <v>0.71164510166358597</v>
      </c>
      <c r="AB25" s="8">
        <v>1</v>
      </c>
    </row>
    <row r="26" spans="1:28" x14ac:dyDescent="0.25">
      <c r="A26" t="s">
        <v>182</v>
      </c>
      <c r="B26" t="s">
        <v>225</v>
      </c>
      <c r="C26" s="95">
        <v>2</v>
      </c>
      <c r="D26" s="120" t="s">
        <v>227</v>
      </c>
      <c r="E26" s="165" t="s">
        <v>227</v>
      </c>
      <c r="F26" s="5">
        <v>0</v>
      </c>
      <c r="G26" s="5">
        <v>0</v>
      </c>
      <c r="H26" s="5">
        <v>36</v>
      </c>
      <c r="I26" s="96">
        <v>36</v>
      </c>
      <c r="J26" t="str">
        <f t="shared" si="0"/>
        <v>RN5</v>
      </c>
      <c r="K26" s="8" t="e">
        <v>#N/A</v>
      </c>
      <c r="L26" s="182" t="s">
        <v>227</v>
      </c>
      <c r="M26" s="8" t="e">
        <v>#VALUE!</v>
      </c>
      <c r="N26" s="8" t="e">
        <v>#VALUE!</v>
      </c>
      <c r="O26" s="8" t="e">
        <f t="shared" si="1"/>
        <v>#VALUE!</v>
      </c>
      <c r="P26" s="8" t="e">
        <f t="shared" si="2"/>
        <v>#VALUE!</v>
      </c>
      <c r="Q26" s="183" t="e">
        <v>#VALUE!</v>
      </c>
      <c r="R26" s="8">
        <v>1</v>
      </c>
      <c r="S26" s="8">
        <v>99</v>
      </c>
      <c r="T26" s="8" t="e">
        <f t="shared" si="3"/>
        <v>#VALUE!</v>
      </c>
      <c r="U26" s="8" t="e">
        <f t="shared" si="4"/>
        <v>#VALUE!</v>
      </c>
      <c r="V26" s="8" t="e">
        <f>IF('LL Revascularisation Summary'!$P$3=2, Q26, IF('LL Revascularisation Summary'!$P$3=1,L26))</f>
        <v>#VALUE!</v>
      </c>
      <c r="W26" s="183" t="e">
        <f>IF('LL Revascularisation Summary'!$P$3=2, U26, IF('LL Revascularisation Summary'!$P$3=1,P26))</f>
        <v>#VALUE!</v>
      </c>
      <c r="X26" s="183" t="e">
        <f>IF('LL Revascularisation Summary'!$P$3=2, T26, IF('LL Revascularisation Summary'!$P$3=1,O26))</f>
        <v>#VALUE!</v>
      </c>
      <c r="Y26" s="184">
        <f t="shared" si="5"/>
        <v>0</v>
      </c>
      <c r="Z26" s="184">
        <f t="shared" si="6"/>
        <v>0</v>
      </c>
      <c r="AA26" s="184">
        <f t="shared" si="7"/>
        <v>1</v>
      </c>
      <c r="AB26" s="8">
        <v>0</v>
      </c>
    </row>
    <row r="27" spans="1:28" x14ac:dyDescent="0.25">
      <c r="A27" t="s">
        <v>96</v>
      </c>
      <c r="B27" t="s">
        <v>294</v>
      </c>
      <c r="C27" s="95">
        <v>134</v>
      </c>
      <c r="D27" s="120" t="s">
        <v>174</v>
      </c>
      <c r="E27" s="162">
        <v>0.63999998569488525</v>
      </c>
      <c r="F27" s="5">
        <v>126</v>
      </c>
      <c r="G27" s="5">
        <v>19</v>
      </c>
      <c r="H27" s="5">
        <v>397</v>
      </c>
      <c r="I27" s="96">
        <v>542</v>
      </c>
      <c r="J27" t="str">
        <f t="shared" si="0"/>
        <v>RWA</v>
      </c>
      <c r="K27" s="8">
        <v>13</v>
      </c>
      <c r="L27" s="182">
        <v>4</v>
      </c>
      <c r="M27" s="8">
        <v>2</v>
      </c>
      <c r="N27" s="8">
        <v>7</v>
      </c>
      <c r="O27" s="8">
        <f t="shared" si="1"/>
        <v>2</v>
      </c>
      <c r="P27" s="8">
        <f t="shared" si="2"/>
        <v>3</v>
      </c>
      <c r="Q27" s="183">
        <v>64</v>
      </c>
      <c r="R27" s="8">
        <v>55.000000000000007</v>
      </c>
      <c r="S27" s="8">
        <v>72</v>
      </c>
      <c r="T27" s="8">
        <f t="shared" si="3"/>
        <v>8.9999999999999929</v>
      </c>
      <c r="U27" s="8">
        <f t="shared" si="4"/>
        <v>8</v>
      </c>
      <c r="V27" s="8">
        <f>IF('LL Revascularisation Summary'!$P$3=2, Q27, IF('LL Revascularisation Summary'!$P$3=1,L27))</f>
        <v>64</v>
      </c>
      <c r="W27" s="183">
        <f>IF('LL Revascularisation Summary'!$P$3=2, U27, IF('LL Revascularisation Summary'!$P$3=1,P27))</f>
        <v>8</v>
      </c>
      <c r="X27" s="183">
        <f>IF('LL Revascularisation Summary'!$P$3=2, T27, IF('LL Revascularisation Summary'!$P$3=1,O27))</f>
        <v>8.9999999999999929</v>
      </c>
      <c r="Y27" s="184">
        <f t="shared" si="5"/>
        <v>0.23247232472324722</v>
      </c>
      <c r="Z27" s="184">
        <f t="shared" si="6"/>
        <v>3.5055350553505532E-2</v>
      </c>
      <c r="AA27" s="184">
        <f t="shared" si="7"/>
        <v>0.73247232472324719</v>
      </c>
      <c r="AB27" s="8">
        <v>1</v>
      </c>
    </row>
    <row r="28" spans="1:28" x14ac:dyDescent="0.25">
      <c r="A28" t="s">
        <v>119</v>
      </c>
      <c r="B28" t="s">
        <v>120</v>
      </c>
      <c r="C28" s="95">
        <v>98</v>
      </c>
      <c r="D28" s="120" t="s">
        <v>969</v>
      </c>
      <c r="E28" s="162">
        <v>0.4699999988079071</v>
      </c>
      <c r="F28" s="5">
        <v>87</v>
      </c>
      <c r="G28" s="5">
        <v>21</v>
      </c>
      <c r="H28" s="5">
        <v>252</v>
      </c>
      <c r="I28" s="96">
        <v>360</v>
      </c>
      <c r="J28" t="str">
        <f t="shared" si="0"/>
        <v>RYJ</v>
      </c>
      <c r="K28" s="8">
        <v>44</v>
      </c>
      <c r="L28" s="182">
        <v>6</v>
      </c>
      <c r="M28" s="8">
        <v>3</v>
      </c>
      <c r="N28" s="8">
        <v>10</v>
      </c>
      <c r="O28" s="8">
        <f t="shared" si="1"/>
        <v>3</v>
      </c>
      <c r="P28" s="8">
        <f t="shared" si="2"/>
        <v>4</v>
      </c>
      <c r="Q28" s="183">
        <v>47</v>
      </c>
      <c r="R28" s="8">
        <v>37</v>
      </c>
      <c r="S28" s="8">
        <v>56.999999999999993</v>
      </c>
      <c r="T28" s="8">
        <f t="shared" si="3"/>
        <v>10</v>
      </c>
      <c r="U28" s="8">
        <f t="shared" si="4"/>
        <v>9.9999999999999929</v>
      </c>
      <c r="V28" s="8">
        <f>IF('LL Revascularisation Summary'!$P$3=2, Q28, IF('LL Revascularisation Summary'!$P$3=1,L28))</f>
        <v>47</v>
      </c>
      <c r="W28" s="183">
        <f>IF('LL Revascularisation Summary'!$P$3=2, U28, IF('LL Revascularisation Summary'!$P$3=1,P28))</f>
        <v>9.9999999999999929</v>
      </c>
      <c r="X28" s="183">
        <f>IF('LL Revascularisation Summary'!$P$3=2, T28, IF('LL Revascularisation Summary'!$P$3=1,O28))</f>
        <v>10</v>
      </c>
      <c r="Y28" s="184">
        <f t="shared" si="5"/>
        <v>0.24166666666666667</v>
      </c>
      <c r="Z28" s="184">
        <f t="shared" si="6"/>
        <v>5.8333333333333334E-2</v>
      </c>
      <c r="AA28" s="184">
        <f t="shared" si="7"/>
        <v>0.7</v>
      </c>
      <c r="AB28" s="8">
        <v>1</v>
      </c>
    </row>
    <row r="29" spans="1:28" x14ac:dyDescent="0.25">
      <c r="A29" t="s">
        <v>53</v>
      </c>
      <c r="B29" t="s">
        <v>54</v>
      </c>
      <c r="C29" s="95">
        <v>18</v>
      </c>
      <c r="D29" s="120" t="s">
        <v>970</v>
      </c>
      <c r="E29" s="162">
        <v>0.56000000238418579</v>
      </c>
      <c r="F29" s="5">
        <v>83</v>
      </c>
      <c r="G29" s="5">
        <v>11</v>
      </c>
      <c r="H29" s="5">
        <v>102</v>
      </c>
      <c r="I29" s="96">
        <v>196</v>
      </c>
      <c r="J29" t="str">
        <f t="shared" si="0"/>
        <v>RJZ</v>
      </c>
      <c r="K29" s="8">
        <v>29</v>
      </c>
      <c r="L29" s="182">
        <v>5</v>
      </c>
      <c r="M29" s="8">
        <v>4</v>
      </c>
      <c r="N29" s="8">
        <v>10</v>
      </c>
      <c r="O29" s="8">
        <f t="shared" si="1"/>
        <v>1</v>
      </c>
      <c r="P29" s="8">
        <f t="shared" si="2"/>
        <v>5</v>
      </c>
      <c r="Q29" s="183">
        <v>56</v>
      </c>
      <c r="R29" s="8">
        <v>31</v>
      </c>
      <c r="S29" s="8">
        <v>78</v>
      </c>
      <c r="T29" s="8">
        <f t="shared" si="3"/>
        <v>25</v>
      </c>
      <c r="U29" s="8">
        <f t="shared" si="4"/>
        <v>22</v>
      </c>
      <c r="V29" s="8">
        <f>IF('LL Revascularisation Summary'!$P$3=2, Q29, IF('LL Revascularisation Summary'!$P$3=1,L29))</f>
        <v>56</v>
      </c>
      <c r="W29" s="183">
        <f>IF('LL Revascularisation Summary'!$P$3=2, U29, IF('LL Revascularisation Summary'!$P$3=1,P29))</f>
        <v>22</v>
      </c>
      <c r="X29" s="183">
        <f>IF('LL Revascularisation Summary'!$P$3=2, T29, IF('LL Revascularisation Summary'!$P$3=1,O29))</f>
        <v>25</v>
      </c>
      <c r="Y29" s="184">
        <f t="shared" si="5"/>
        <v>0.42346938775510207</v>
      </c>
      <c r="Z29" s="184">
        <f t="shared" si="6"/>
        <v>5.6122448979591837E-2</v>
      </c>
      <c r="AA29" s="184">
        <f t="shared" si="7"/>
        <v>0.52040816326530615</v>
      </c>
      <c r="AB29" s="8">
        <v>1</v>
      </c>
    </row>
    <row r="30" spans="1:28" x14ac:dyDescent="0.25">
      <c r="A30" t="s">
        <v>113</v>
      </c>
      <c r="B30" t="s">
        <v>114</v>
      </c>
      <c r="C30" s="95">
        <v>146</v>
      </c>
      <c r="D30" s="120" t="s">
        <v>167</v>
      </c>
      <c r="E30" s="162">
        <v>0.37999999523162842</v>
      </c>
      <c r="F30" s="5">
        <v>124</v>
      </c>
      <c r="G30" s="5">
        <v>78</v>
      </c>
      <c r="H30" s="5">
        <v>219</v>
      </c>
      <c r="I30" s="96">
        <v>421</v>
      </c>
      <c r="J30" t="str">
        <f t="shared" si="0"/>
        <v>RXN</v>
      </c>
      <c r="K30" s="8">
        <v>50</v>
      </c>
      <c r="L30" s="182">
        <v>6</v>
      </c>
      <c r="M30" s="8">
        <v>5</v>
      </c>
      <c r="N30" s="8">
        <v>8</v>
      </c>
      <c r="O30" s="8">
        <f t="shared" si="1"/>
        <v>1</v>
      </c>
      <c r="P30" s="8">
        <f t="shared" si="2"/>
        <v>2</v>
      </c>
      <c r="Q30" s="183">
        <v>38</v>
      </c>
      <c r="R30" s="8">
        <v>30</v>
      </c>
      <c r="S30" s="8">
        <v>47</v>
      </c>
      <c r="T30" s="8">
        <f t="shared" si="3"/>
        <v>8</v>
      </c>
      <c r="U30" s="8">
        <f t="shared" si="4"/>
        <v>9</v>
      </c>
      <c r="V30" s="8">
        <f>IF('LL Revascularisation Summary'!$P$3=2, Q30, IF('LL Revascularisation Summary'!$P$3=1,L30))</f>
        <v>38</v>
      </c>
      <c r="W30" s="183">
        <f>IF('LL Revascularisation Summary'!$P$3=2, U30, IF('LL Revascularisation Summary'!$P$3=1,P30))</f>
        <v>9</v>
      </c>
      <c r="X30" s="183">
        <f>IF('LL Revascularisation Summary'!$P$3=2, T30, IF('LL Revascularisation Summary'!$P$3=1,O30))</f>
        <v>8</v>
      </c>
      <c r="Y30" s="184">
        <f t="shared" si="5"/>
        <v>0.29453681710213775</v>
      </c>
      <c r="Z30" s="184">
        <f t="shared" si="6"/>
        <v>0.18527315914489312</v>
      </c>
      <c r="AA30" s="184">
        <f t="shared" si="7"/>
        <v>0.52019002375296908</v>
      </c>
      <c r="AB30" s="8">
        <v>1</v>
      </c>
    </row>
    <row r="31" spans="1:28" x14ac:dyDescent="0.25">
      <c r="A31" t="s">
        <v>75</v>
      </c>
      <c r="B31" t="s">
        <v>76</v>
      </c>
      <c r="C31" s="95">
        <v>46</v>
      </c>
      <c r="D31" s="120" t="s">
        <v>971</v>
      </c>
      <c r="E31" s="162">
        <v>0.5</v>
      </c>
      <c r="F31" s="5">
        <v>58</v>
      </c>
      <c r="G31" s="5">
        <v>30</v>
      </c>
      <c r="H31" s="5">
        <v>36</v>
      </c>
      <c r="I31" s="96">
        <v>124</v>
      </c>
      <c r="J31" t="str">
        <f t="shared" si="0"/>
        <v>RR8</v>
      </c>
      <c r="K31" s="8">
        <v>38</v>
      </c>
      <c r="L31" s="182">
        <v>6</v>
      </c>
      <c r="M31" s="8">
        <v>3</v>
      </c>
      <c r="N31" s="8">
        <v>15</v>
      </c>
      <c r="O31" s="8">
        <f t="shared" si="1"/>
        <v>3</v>
      </c>
      <c r="P31" s="8">
        <f t="shared" si="2"/>
        <v>9</v>
      </c>
      <c r="Q31" s="183">
        <v>50</v>
      </c>
      <c r="R31" s="8">
        <v>35</v>
      </c>
      <c r="S31" s="8">
        <v>65</v>
      </c>
      <c r="T31" s="8">
        <f t="shared" si="3"/>
        <v>15</v>
      </c>
      <c r="U31" s="8">
        <f t="shared" si="4"/>
        <v>15</v>
      </c>
      <c r="V31" s="8">
        <f>IF('LL Revascularisation Summary'!$P$3=2, Q31, IF('LL Revascularisation Summary'!$P$3=1,L31))</f>
        <v>50</v>
      </c>
      <c r="W31" s="183">
        <f>IF('LL Revascularisation Summary'!$P$3=2, U31, IF('LL Revascularisation Summary'!$P$3=1,P31))</f>
        <v>15</v>
      </c>
      <c r="X31" s="183">
        <f>IF('LL Revascularisation Summary'!$P$3=2, T31, IF('LL Revascularisation Summary'!$P$3=1,O31))</f>
        <v>15</v>
      </c>
      <c r="Y31" s="184">
        <f t="shared" si="5"/>
        <v>0.46774193548387094</v>
      </c>
      <c r="Z31" s="184">
        <f t="shared" si="6"/>
        <v>0.24193548387096775</v>
      </c>
      <c r="AA31" s="184">
        <f t="shared" si="7"/>
        <v>0.29032258064516131</v>
      </c>
      <c r="AB31" s="8">
        <v>1</v>
      </c>
    </row>
    <row r="32" spans="1:28" x14ac:dyDescent="0.25">
      <c r="A32" t="s">
        <v>29</v>
      </c>
      <c r="B32" t="s">
        <v>295</v>
      </c>
      <c r="C32" s="95">
        <v>147</v>
      </c>
      <c r="D32" s="120" t="s">
        <v>972</v>
      </c>
      <c r="E32" s="162">
        <v>0.34999999403953552</v>
      </c>
      <c r="F32" s="5">
        <v>114</v>
      </c>
      <c r="G32" s="5">
        <v>75</v>
      </c>
      <c r="H32" s="5">
        <v>189</v>
      </c>
      <c r="I32" s="96">
        <v>378</v>
      </c>
      <c r="J32" t="str">
        <f t="shared" si="0"/>
        <v>REM</v>
      </c>
      <c r="K32" s="8">
        <v>52</v>
      </c>
      <c r="L32" s="182">
        <v>8</v>
      </c>
      <c r="M32" s="8">
        <v>4</v>
      </c>
      <c r="N32" s="8">
        <v>15</v>
      </c>
      <c r="O32" s="8">
        <f t="shared" si="1"/>
        <v>4</v>
      </c>
      <c r="P32" s="8">
        <f t="shared" si="2"/>
        <v>7</v>
      </c>
      <c r="Q32" s="183">
        <v>35</v>
      </c>
      <c r="R32" s="8">
        <v>27</v>
      </c>
      <c r="S32" s="8">
        <v>43</v>
      </c>
      <c r="T32" s="8">
        <f t="shared" si="3"/>
        <v>8</v>
      </c>
      <c r="U32" s="8">
        <f t="shared" si="4"/>
        <v>8</v>
      </c>
      <c r="V32" s="8">
        <f>IF('LL Revascularisation Summary'!$P$3=2, Q32, IF('LL Revascularisation Summary'!$P$3=1,L32))</f>
        <v>35</v>
      </c>
      <c r="W32" s="183">
        <f>IF('LL Revascularisation Summary'!$P$3=2, U32, IF('LL Revascularisation Summary'!$P$3=1,P32))</f>
        <v>8</v>
      </c>
      <c r="X32" s="183">
        <f>IF('LL Revascularisation Summary'!$P$3=2, T32, IF('LL Revascularisation Summary'!$P$3=1,O32))</f>
        <v>8</v>
      </c>
      <c r="Y32" s="184">
        <f t="shared" si="5"/>
        <v>0.30158730158730157</v>
      </c>
      <c r="Z32" s="184">
        <f t="shared" si="6"/>
        <v>0.1984126984126984</v>
      </c>
      <c r="AA32" s="184">
        <f t="shared" si="7"/>
        <v>0.5</v>
      </c>
      <c r="AB32" s="8">
        <v>1</v>
      </c>
    </row>
    <row r="33" spans="1:28" x14ac:dyDescent="0.25">
      <c r="A33" t="s">
        <v>12</v>
      </c>
      <c r="B33" t="s">
        <v>296</v>
      </c>
      <c r="C33" s="95">
        <v>75</v>
      </c>
      <c r="D33" s="120" t="s">
        <v>395</v>
      </c>
      <c r="E33" s="162">
        <v>0.47999998927116394</v>
      </c>
      <c r="F33" s="5">
        <v>11</v>
      </c>
      <c r="G33" s="5">
        <v>19</v>
      </c>
      <c r="H33" s="5">
        <v>236</v>
      </c>
      <c r="I33" s="96">
        <v>266</v>
      </c>
      <c r="J33" t="str">
        <f t="shared" si="0"/>
        <v>R1K</v>
      </c>
      <c r="K33" s="8">
        <v>41</v>
      </c>
      <c r="L33" s="182">
        <v>6</v>
      </c>
      <c r="M33" s="8">
        <v>4</v>
      </c>
      <c r="N33" s="8">
        <v>8</v>
      </c>
      <c r="O33" s="8">
        <f t="shared" si="1"/>
        <v>2</v>
      </c>
      <c r="P33" s="8">
        <f t="shared" si="2"/>
        <v>2</v>
      </c>
      <c r="Q33" s="183">
        <v>48</v>
      </c>
      <c r="R33" s="8">
        <v>36</v>
      </c>
      <c r="S33" s="8">
        <v>60</v>
      </c>
      <c r="T33" s="8">
        <f t="shared" si="3"/>
        <v>12</v>
      </c>
      <c r="U33" s="8">
        <f t="shared" si="4"/>
        <v>12</v>
      </c>
      <c r="V33" s="8">
        <f>IF('LL Revascularisation Summary'!$P$3=2, Q33, IF('LL Revascularisation Summary'!$P$3=1,L33))</f>
        <v>48</v>
      </c>
      <c r="W33" s="183">
        <f>IF('LL Revascularisation Summary'!$P$3=2, U33, IF('LL Revascularisation Summary'!$P$3=1,P33))</f>
        <v>12</v>
      </c>
      <c r="X33" s="183">
        <f>IF('LL Revascularisation Summary'!$P$3=2, T33, IF('LL Revascularisation Summary'!$P$3=1,O33))</f>
        <v>12</v>
      </c>
      <c r="Y33" s="184">
        <f t="shared" si="5"/>
        <v>4.1353383458646614E-2</v>
      </c>
      <c r="Z33" s="184">
        <f t="shared" si="6"/>
        <v>7.1428571428571425E-2</v>
      </c>
      <c r="AA33" s="184">
        <f t="shared" si="7"/>
        <v>0.88721804511278191</v>
      </c>
      <c r="AB33" s="8">
        <v>1</v>
      </c>
    </row>
    <row r="34" spans="1:28" x14ac:dyDescent="0.25">
      <c r="A34" t="s">
        <v>8</v>
      </c>
      <c r="B34" t="s">
        <v>9</v>
      </c>
      <c r="C34" s="95">
        <v>109</v>
      </c>
      <c r="D34" s="120" t="s">
        <v>973</v>
      </c>
      <c r="E34" s="162">
        <v>0.43999999761581421</v>
      </c>
      <c r="F34" s="5">
        <v>90</v>
      </c>
      <c r="G34" s="5">
        <v>78</v>
      </c>
      <c r="H34" s="5">
        <v>143</v>
      </c>
      <c r="I34" s="96">
        <v>311</v>
      </c>
      <c r="J34" t="str">
        <f t="shared" si="0"/>
        <v>R0A</v>
      </c>
      <c r="K34" s="8">
        <v>47</v>
      </c>
      <c r="L34" s="182">
        <v>7</v>
      </c>
      <c r="M34" s="8">
        <v>3</v>
      </c>
      <c r="N34" s="8">
        <v>11</v>
      </c>
      <c r="O34" s="8">
        <f t="shared" si="1"/>
        <v>4</v>
      </c>
      <c r="P34" s="8">
        <f t="shared" si="2"/>
        <v>4</v>
      </c>
      <c r="Q34" s="183">
        <v>44</v>
      </c>
      <c r="R34" s="8">
        <v>35</v>
      </c>
      <c r="S34" s="8">
        <v>54</v>
      </c>
      <c r="T34" s="8">
        <f t="shared" si="3"/>
        <v>9</v>
      </c>
      <c r="U34" s="8">
        <f t="shared" si="4"/>
        <v>10</v>
      </c>
      <c r="V34" s="8">
        <f>IF('LL Revascularisation Summary'!$P$3=2, Q34, IF('LL Revascularisation Summary'!$P$3=1,L34))</f>
        <v>44</v>
      </c>
      <c r="W34" s="183">
        <f>IF('LL Revascularisation Summary'!$P$3=2, U34, IF('LL Revascularisation Summary'!$P$3=1,P34))</f>
        <v>10</v>
      </c>
      <c r="X34" s="183">
        <f>IF('LL Revascularisation Summary'!$P$3=2, T34, IF('LL Revascularisation Summary'!$P$3=1,O34))</f>
        <v>9</v>
      </c>
      <c r="Y34" s="184">
        <f t="shared" si="5"/>
        <v>0.28938906752411575</v>
      </c>
      <c r="Z34" s="184">
        <f t="shared" si="6"/>
        <v>0.25080385852090031</v>
      </c>
      <c r="AA34" s="184">
        <f t="shared" si="7"/>
        <v>0.45980707395498394</v>
      </c>
      <c r="AB34" s="8">
        <v>1</v>
      </c>
    </row>
    <row r="35" spans="1:28" x14ac:dyDescent="0.25">
      <c r="A35" t="s">
        <v>69</v>
      </c>
      <c r="B35" t="s">
        <v>70</v>
      </c>
      <c r="C35" s="95">
        <v>2</v>
      </c>
      <c r="D35" s="120" t="s">
        <v>227</v>
      </c>
      <c r="E35" s="162" t="s">
        <v>227</v>
      </c>
      <c r="F35" s="5">
        <v>8</v>
      </c>
      <c r="G35" s="5">
        <v>3</v>
      </c>
      <c r="H35" s="5">
        <v>6</v>
      </c>
      <c r="I35" s="96">
        <v>17</v>
      </c>
      <c r="J35" t="str">
        <f t="shared" si="0"/>
        <v>RPA</v>
      </c>
      <c r="K35" s="8" t="e">
        <v>#N/A</v>
      </c>
      <c r="L35" s="182" t="s">
        <v>227</v>
      </c>
      <c r="M35" s="8" t="e">
        <v>#VALUE!</v>
      </c>
      <c r="N35" s="8" t="e">
        <v>#VALUE!</v>
      </c>
      <c r="O35" s="8" t="e">
        <f t="shared" si="1"/>
        <v>#VALUE!</v>
      </c>
      <c r="P35" s="8" t="e">
        <f t="shared" si="2"/>
        <v>#VALUE!</v>
      </c>
      <c r="Q35" s="183" t="e">
        <v>#VALUE!</v>
      </c>
      <c r="R35" s="8">
        <v>1</v>
      </c>
      <c r="S35" s="8">
        <v>99</v>
      </c>
      <c r="T35" s="8" t="e">
        <f t="shared" si="3"/>
        <v>#VALUE!</v>
      </c>
      <c r="U35" s="8" t="e">
        <f t="shared" si="4"/>
        <v>#VALUE!</v>
      </c>
      <c r="V35" s="8" t="e">
        <f>IF('LL Revascularisation Summary'!$P$3=2, Q35, IF('LL Revascularisation Summary'!$P$3=1,L35))</f>
        <v>#VALUE!</v>
      </c>
      <c r="W35" s="183" t="e">
        <f>IF('LL Revascularisation Summary'!$P$3=2, U35, IF('LL Revascularisation Summary'!$P$3=1,P35))</f>
        <v>#VALUE!</v>
      </c>
      <c r="X35" s="183" t="e">
        <f>IF('LL Revascularisation Summary'!$P$3=2, T35, IF('LL Revascularisation Summary'!$P$3=1,O35))</f>
        <v>#VALUE!</v>
      </c>
      <c r="Y35" s="184">
        <f t="shared" si="5"/>
        <v>0.47058823529411764</v>
      </c>
      <c r="Z35" s="184">
        <f t="shared" si="6"/>
        <v>0.17647058823529413</v>
      </c>
      <c r="AA35" s="184">
        <f t="shared" si="7"/>
        <v>0.35294117647058826</v>
      </c>
      <c r="AB35" s="8">
        <v>1</v>
      </c>
    </row>
    <row r="36" spans="1:28" x14ac:dyDescent="0.25">
      <c r="A36" t="s">
        <v>17</v>
      </c>
      <c r="B36" t="s">
        <v>339</v>
      </c>
      <c r="C36" s="95">
        <v>30</v>
      </c>
      <c r="D36" s="120" t="s">
        <v>217</v>
      </c>
      <c r="E36" s="162">
        <v>0.5</v>
      </c>
      <c r="F36" s="5">
        <v>59</v>
      </c>
      <c r="G36" s="5">
        <v>57</v>
      </c>
      <c r="H36" s="5">
        <v>51</v>
      </c>
      <c r="I36" s="96">
        <v>167</v>
      </c>
      <c r="J36" t="str">
        <f t="shared" si="0"/>
        <v>RAJ</v>
      </c>
      <c r="K36" s="8">
        <v>37</v>
      </c>
      <c r="L36" s="182">
        <v>6</v>
      </c>
      <c r="M36" s="8">
        <v>3</v>
      </c>
      <c r="N36" s="8">
        <v>9</v>
      </c>
      <c r="O36" s="8">
        <f t="shared" si="1"/>
        <v>3</v>
      </c>
      <c r="P36" s="8">
        <f t="shared" si="2"/>
        <v>3</v>
      </c>
      <c r="Q36" s="183">
        <v>50</v>
      </c>
      <c r="R36" s="8">
        <v>31</v>
      </c>
      <c r="S36" s="8">
        <v>69</v>
      </c>
      <c r="T36" s="8">
        <f t="shared" si="3"/>
        <v>19</v>
      </c>
      <c r="U36" s="8">
        <f t="shared" si="4"/>
        <v>19</v>
      </c>
      <c r="V36" s="8">
        <f>IF('LL Revascularisation Summary'!$P$3=2, Q36, IF('LL Revascularisation Summary'!$P$3=1,L36))</f>
        <v>50</v>
      </c>
      <c r="W36" s="183">
        <f>IF('LL Revascularisation Summary'!$P$3=2, U36, IF('LL Revascularisation Summary'!$P$3=1,P36))</f>
        <v>19</v>
      </c>
      <c r="X36" s="183">
        <f>IF('LL Revascularisation Summary'!$P$3=2, T36, IF('LL Revascularisation Summary'!$P$3=1,O36))</f>
        <v>19</v>
      </c>
      <c r="Y36" s="184">
        <f t="shared" si="5"/>
        <v>0.3532934131736527</v>
      </c>
      <c r="Z36" s="184">
        <f t="shared" si="6"/>
        <v>0.3413173652694611</v>
      </c>
      <c r="AA36" s="184">
        <f t="shared" si="7"/>
        <v>0.30538922155688625</v>
      </c>
      <c r="AB36" s="8">
        <v>1</v>
      </c>
    </row>
    <row r="37" spans="1:28" x14ac:dyDescent="0.25">
      <c r="A37" t="s">
        <v>111</v>
      </c>
      <c r="B37" t="s">
        <v>112</v>
      </c>
      <c r="C37" s="95">
        <v>10</v>
      </c>
      <c r="D37" s="120" t="s">
        <v>974</v>
      </c>
      <c r="E37" s="165">
        <v>0.20000000298023224</v>
      </c>
      <c r="F37" s="5">
        <v>0</v>
      </c>
      <c r="G37" s="5">
        <v>0</v>
      </c>
      <c r="H37" s="5">
        <v>57</v>
      </c>
      <c r="I37" s="96">
        <v>57</v>
      </c>
      <c r="J37" t="str">
        <f t="shared" si="0"/>
        <v>RXF</v>
      </c>
      <c r="K37" s="8" t="e">
        <v>#N/A</v>
      </c>
      <c r="L37" s="182" t="s">
        <v>956</v>
      </c>
      <c r="M37" s="8">
        <v>6</v>
      </c>
      <c r="N37" s="8">
        <v>15</v>
      </c>
      <c r="O37" s="8">
        <f t="shared" si="1"/>
        <v>4</v>
      </c>
      <c r="P37" s="8">
        <f t="shared" si="2"/>
        <v>5</v>
      </c>
      <c r="Q37" s="183">
        <v>20</v>
      </c>
      <c r="R37" s="8">
        <v>3</v>
      </c>
      <c r="S37" s="8">
        <v>56.000000000000007</v>
      </c>
      <c r="T37" s="8">
        <f t="shared" si="3"/>
        <v>17</v>
      </c>
      <c r="U37" s="8">
        <f t="shared" si="4"/>
        <v>36.000000000000007</v>
      </c>
      <c r="V37" s="8">
        <f>IF('LL Revascularisation Summary'!$P$3=2, Q37, IF('LL Revascularisation Summary'!$P$3=1,L37))</f>
        <v>20</v>
      </c>
      <c r="W37" s="183">
        <f>IF('LL Revascularisation Summary'!$P$3=2, U37, IF('LL Revascularisation Summary'!$P$3=1,P37))</f>
        <v>36.000000000000007</v>
      </c>
      <c r="X37" s="183">
        <f>IF('LL Revascularisation Summary'!$P$3=2, T37, IF('LL Revascularisation Summary'!$P$3=1,O37))</f>
        <v>17</v>
      </c>
      <c r="Y37" s="184">
        <f t="shared" si="5"/>
        <v>0</v>
      </c>
      <c r="Z37" s="184">
        <f t="shared" si="6"/>
        <v>0</v>
      </c>
      <c r="AA37" s="184">
        <f t="shared" si="7"/>
        <v>1</v>
      </c>
      <c r="AB37" s="8">
        <v>0</v>
      </c>
    </row>
    <row r="38" spans="1:28" x14ac:dyDescent="0.25">
      <c r="A38" t="s">
        <v>180</v>
      </c>
      <c r="B38" t="s">
        <v>297</v>
      </c>
      <c r="C38" s="95">
        <v>0</v>
      </c>
      <c r="D38" s="120" t="s">
        <v>220</v>
      </c>
      <c r="E38" s="161" t="s">
        <v>220</v>
      </c>
      <c r="F38" s="5" t="s">
        <v>227</v>
      </c>
      <c r="G38" s="5" t="s">
        <v>227</v>
      </c>
      <c r="H38" s="5" t="s">
        <v>227</v>
      </c>
      <c r="I38" s="96" t="s">
        <v>227</v>
      </c>
      <c r="J38" t="str">
        <f t="shared" si="0"/>
        <v>RD8</v>
      </c>
      <c r="K38" s="8" t="e">
        <v>#N/A</v>
      </c>
      <c r="L38" s="182" t="s">
        <v>472</v>
      </c>
      <c r="M38" s="8" t="e">
        <v>#VALUE!</v>
      </c>
      <c r="N38" s="8" t="e">
        <v>#VALUE!</v>
      </c>
      <c r="O38" s="8" t="e">
        <f t="shared" si="1"/>
        <v>#VALUE!</v>
      </c>
      <c r="P38" s="8" t="e">
        <f t="shared" si="2"/>
        <v>#VALUE!</v>
      </c>
      <c r="Q38" s="183" t="e">
        <v>#VALUE!</v>
      </c>
      <c r="R38" s="8" t="e">
        <v>#VALUE!</v>
      </c>
      <c r="S38" s="8" t="e">
        <v>#VALUE!</v>
      </c>
      <c r="T38" s="8" t="e">
        <f t="shared" si="3"/>
        <v>#VALUE!</v>
      </c>
      <c r="U38" s="8" t="e">
        <f t="shared" si="4"/>
        <v>#VALUE!</v>
      </c>
      <c r="V38" s="8" t="e">
        <f>IF('LL Revascularisation Summary'!$P$3=2, Q38, IF('LL Revascularisation Summary'!$P$3=1,L38))</f>
        <v>#VALUE!</v>
      </c>
      <c r="W38" s="183" t="e">
        <f>IF('LL Revascularisation Summary'!$P$3=2, U38, IF('LL Revascularisation Summary'!$P$3=1,P38))</f>
        <v>#VALUE!</v>
      </c>
      <c r="X38" s="183" t="e">
        <f>IF('LL Revascularisation Summary'!$P$3=2, T38, IF('LL Revascularisation Summary'!$P$3=1,O38))</f>
        <v>#VALUE!</v>
      </c>
      <c r="Y38" s="184" t="e">
        <f t="shared" si="5"/>
        <v>#VALUE!</v>
      </c>
      <c r="Z38" s="184" t="e">
        <f t="shared" si="6"/>
        <v>#VALUE!</v>
      </c>
      <c r="AA38" s="184" t="e">
        <f t="shared" si="7"/>
        <v>#VALUE!</v>
      </c>
      <c r="AB38" s="8">
        <v>0</v>
      </c>
    </row>
    <row r="39" spans="1:28" x14ac:dyDescent="0.25">
      <c r="A39" t="s">
        <v>83</v>
      </c>
      <c r="B39" t="s">
        <v>84</v>
      </c>
      <c r="C39" s="95">
        <v>164</v>
      </c>
      <c r="D39" s="120" t="s">
        <v>217</v>
      </c>
      <c r="E39" s="162">
        <v>0.44999998807907104</v>
      </c>
      <c r="F39" s="5">
        <v>122</v>
      </c>
      <c r="G39" s="5">
        <v>76</v>
      </c>
      <c r="H39" s="5">
        <v>307</v>
      </c>
      <c r="I39" s="96">
        <v>505</v>
      </c>
      <c r="J39" t="str">
        <f t="shared" si="0"/>
        <v>RTD</v>
      </c>
      <c r="K39" s="8">
        <v>46</v>
      </c>
      <c r="L39" s="182">
        <v>6</v>
      </c>
      <c r="M39" s="8">
        <v>3</v>
      </c>
      <c r="N39" s="8">
        <v>9</v>
      </c>
      <c r="O39" s="8">
        <f t="shared" si="1"/>
        <v>3</v>
      </c>
      <c r="P39" s="8">
        <f t="shared" si="2"/>
        <v>3</v>
      </c>
      <c r="Q39" s="183">
        <v>45</v>
      </c>
      <c r="R39" s="8">
        <v>37</v>
      </c>
      <c r="S39" s="8">
        <v>52</v>
      </c>
      <c r="T39" s="8">
        <f t="shared" si="3"/>
        <v>8</v>
      </c>
      <c r="U39" s="8">
        <f t="shared" si="4"/>
        <v>7</v>
      </c>
      <c r="V39" s="8">
        <f>IF('LL Revascularisation Summary'!$P$3=2, Q39, IF('LL Revascularisation Summary'!$P$3=1,L39))</f>
        <v>45</v>
      </c>
      <c r="W39" s="183">
        <f>IF('LL Revascularisation Summary'!$P$3=2, U39, IF('LL Revascularisation Summary'!$P$3=1,P39))</f>
        <v>7</v>
      </c>
      <c r="X39" s="183">
        <f>IF('LL Revascularisation Summary'!$P$3=2, T39, IF('LL Revascularisation Summary'!$P$3=1,O39))</f>
        <v>8</v>
      </c>
      <c r="Y39" s="184">
        <f t="shared" si="5"/>
        <v>0.24158415841584158</v>
      </c>
      <c r="Z39" s="184">
        <f t="shared" si="6"/>
        <v>0.15049504950495049</v>
      </c>
      <c r="AA39" s="184">
        <f t="shared" si="7"/>
        <v>0.60792079207920791</v>
      </c>
      <c r="AB39" s="8">
        <v>1</v>
      </c>
    </row>
    <row r="40" spans="1:28" x14ac:dyDescent="0.25">
      <c r="A40" t="s">
        <v>121</v>
      </c>
      <c r="B40" t="s">
        <v>122</v>
      </c>
      <c r="C40" s="95">
        <v>0</v>
      </c>
      <c r="D40" s="120" t="s">
        <v>220</v>
      </c>
      <c r="E40" s="161" t="s">
        <v>220</v>
      </c>
      <c r="F40" s="5" t="s">
        <v>227</v>
      </c>
      <c r="G40" s="5" t="s">
        <v>227</v>
      </c>
      <c r="H40" s="5" t="s">
        <v>227</v>
      </c>
      <c r="I40" s="96" t="s">
        <v>227</v>
      </c>
      <c r="J40" t="str">
        <f t="shared" si="0"/>
        <v>SA999</v>
      </c>
      <c r="K40" s="8" t="e">
        <v>#N/A</v>
      </c>
      <c r="L40" s="182" t="s">
        <v>472</v>
      </c>
      <c r="M40" s="8" t="e">
        <v>#VALUE!</v>
      </c>
      <c r="N40" s="8" t="e">
        <v>#VALUE!</v>
      </c>
      <c r="O40" s="8" t="e">
        <f t="shared" si="1"/>
        <v>#VALUE!</v>
      </c>
      <c r="P40" s="8" t="e">
        <f t="shared" si="2"/>
        <v>#VALUE!</v>
      </c>
      <c r="Q40" s="183" t="e">
        <v>#VALUE!</v>
      </c>
      <c r="R40" s="8" t="e">
        <v>#VALUE!</v>
      </c>
      <c r="S40" s="8" t="e">
        <v>#VALUE!</v>
      </c>
      <c r="T40" s="8" t="e">
        <f t="shared" si="3"/>
        <v>#VALUE!</v>
      </c>
      <c r="U40" s="8" t="e">
        <f t="shared" si="4"/>
        <v>#VALUE!</v>
      </c>
      <c r="V40" s="8" t="e">
        <f>IF('LL Revascularisation Summary'!$P$3=2, Q40, IF('LL Revascularisation Summary'!$P$3=1,L40))</f>
        <v>#VALUE!</v>
      </c>
      <c r="W40" s="183" t="e">
        <f>IF('LL Revascularisation Summary'!$P$3=2, U40, IF('LL Revascularisation Summary'!$P$3=1,P40))</f>
        <v>#VALUE!</v>
      </c>
      <c r="X40" s="183" t="e">
        <f>IF('LL Revascularisation Summary'!$P$3=2, T40, IF('LL Revascularisation Summary'!$P$3=1,O40))</f>
        <v>#VALUE!</v>
      </c>
      <c r="Y40" s="184" t="e">
        <f t="shared" si="5"/>
        <v>#VALUE!</v>
      </c>
      <c r="Z40" s="184" t="e">
        <f t="shared" si="6"/>
        <v>#VALUE!</v>
      </c>
      <c r="AA40" s="184" t="e">
        <f t="shared" si="7"/>
        <v>#VALUE!</v>
      </c>
      <c r="AB40" s="8">
        <v>0</v>
      </c>
    </row>
    <row r="41" spans="1:28" x14ac:dyDescent="0.25">
      <c r="A41" t="s">
        <v>379</v>
      </c>
      <c r="B41" t="s">
        <v>380</v>
      </c>
      <c r="C41" s="95">
        <v>5</v>
      </c>
      <c r="D41" s="120" t="s">
        <v>227</v>
      </c>
      <c r="E41" s="162" t="s">
        <v>227</v>
      </c>
      <c r="F41" s="5">
        <v>0</v>
      </c>
      <c r="G41" s="5">
        <v>0</v>
      </c>
      <c r="H41" s="5">
        <v>12</v>
      </c>
      <c r="I41" s="96">
        <v>12</v>
      </c>
      <c r="J41" t="str">
        <f t="shared" si="0"/>
        <v>SY999</v>
      </c>
      <c r="K41" s="8" t="e">
        <v>#N/A</v>
      </c>
      <c r="L41" s="182" t="s">
        <v>472</v>
      </c>
      <c r="M41" s="8" t="e">
        <v>#VALUE!</v>
      </c>
      <c r="N41" s="8" t="e">
        <v>#VALUE!</v>
      </c>
      <c r="O41" s="8" t="e">
        <f t="shared" si="1"/>
        <v>#VALUE!</v>
      </c>
      <c r="P41" s="8" t="e">
        <f t="shared" si="2"/>
        <v>#VALUE!</v>
      </c>
      <c r="Q41" s="183" t="e">
        <v>#VALUE!</v>
      </c>
      <c r="R41" s="8">
        <v>1</v>
      </c>
      <c r="S41" s="8">
        <v>72</v>
      </c>
      <c r="T41" s="8" t="e">
        <f t="shared" si="3"/>
        <v>#VALUE!</v>
      </c>
      <c r="U41" s="8" t="e">
        <f t="shared" si="4"/>
        <v>#VALUE!</v>
      </c>
      <c r="V41" s="8" t="e">
        <f>IF('LL Revascularisation Summary'!$P$3=2, Q41, IF('LL Revascularisation Summary'!$P$3=1,L41))</f>
        <v>#VALUE!</v>
      </c>
      <c r="W41" s="183" t="e">
        <f>IF('LL Revascularisation Summary'!$P$3=2, U41, IF('LL Revascularisation Summary'!$P$3=1,P41))</f>
        <v>#VALUE!</v>
      </c>
      <c r="X41" s="183" t="e">
        <f>IF('LL Revascularisation Summary'!$P$3=2, T41, IF('LL Revascularisation Summary'!$P$3=1,O41))</f>
        <v>#VALUE!</v>
      </c>
      <c r="Y41" s="184">
        <f t="shared" si="5"/>
        <v>0</v>
      </c>
      <c r="Z41" s="184">
        <f t="shared" si="6"/>
        <v>0</v>
      </c>
      <c r="AA41" s="184">
        <f t="shared" si="7"/>
        <v>1</v>
      </c>
      <c r="AB41" s="8">
        <v>0</v>
      </c>
    </row>
    <row r="42" spans="1:28" x14ac:dyDescent="0.25">
      <c r="A42" t="s">
        <v>135</v>
      </c>
      <c r="B42" t="s">
        <v>136</v>
      </c>
      <c r="C42" s="95">
        <v>0</v>
      </c>
      <c r="D42" s="120" t="s">
        <v>220</v>
      </c>
      <c r="E42" s="161" t="s">
        <v>220</v>
      </c>
      <c r="F42" s="5">
        <v>0</v>
      </c>
      <c r="G42" s="5">
        <v>0</v>
      </c>
      <c r="H42" s="5">
        <v>15</v>
      </c>
      <c r="I42" s="96">
        <v>15</v>
      </c>
      <c r="J42" t="str">
        <f t="shared" si="0"/>
        <v>SV999</v>
      </c>
      <c r="K42" s="8" t="e">
        <v>#N/A</v>
      </c>
      <c r="L42" s="182" t="s">
        <v>472</v>
      </c>
      <c r="M42" s="8" t="e">
        <v>#VALUE!</v>
      </c>
      <c r="N42" s="8" t="e">
        <v>#VALUE!</v>
      </c>
      <c r="O42" s="8" t="e">
        <f t="shared" si="1"/>
        <v>#VALUE!</v>
      </c>
      <c r="P42" s="8" t="e">
        <f t="shared" si="2"/>
        <v>#VALUE!</v>
      </c>
      <c r="Q42" s="183" t="e">
        <v>#VALUE!</v>
      </c>
      <c r="R42" s="8" t="e">
        <v>#VALUE!</v>
      </c>
      <c r="S42" s="8" t="e">
        <v>#VALUE!</v>
      </c>
      <c r="T42" s="8" t="e">
        <f t="shared" si="3"/>
        <v>#VALUE!</v>
      </c>
      <c r="U42" s="8" t="e">
        <f t="shared" si="4"/>
        <v>#VALUE!</v>
      </c>
      <c r="V42" s="8" t="e">
        <f>IF('LL Revascularisation Summary'!$P$3=2, Q42, IF('LL Revascularisation Summary'!$P$3=1,L42))</f>
        <v>#VALUE!</v>
      </c>
      <c r="W42" s="183" t="e">
        <f>IF('LL Revascularisation Summary'!$P$3=2, U42, IF('LL Revascularisation Summary'!$P$3=1,P42))</f>
        <v>#VALUE!</v>
      </c>
      <c r="X42" s="183" t="e">
        <f>IF('LL Revascularisation Summary'!$P$3=2, T42, IF('LL Revascularisation Summary'!$P$3=1,O42))</f>
        <v>#VALUE!</v>
      </c>
      <c r="Y42" s="184">
        <f t="shared" si="5"/>
        <v>0</v>
      </c>
      <c r="Z42" s="184">
        <f t="shared" si="6"/>
        <v>0</v>
      </c>
      <c r="AA42" s="184">
        <f t="shared" si="7"/>
        <v>1</v>
      </c>
      <c r="AB42" s="8">
        <v>0</v>
      </c>
    </row>
    <row r="43" spans="1:28" x14ac:dyDescent="0.25">
      <c r="A43" t="s">
        <v>129</v>
      </c>
      <c r="B43" t="s">
        <v>130</v>
      </c>
      <c r="C43" s="95">
        <v>5</v>
      </c>
      <c r="D43" s="120" t="s">
        <v>227</v>
      </c>
      <c r="E43" s="162" t="s">
        <v>227</v>
      </c>
      <c r="F43" s="5">
        <v>10</v>
      </c>
      <c r="G43" s="5">
        <v>0</v>
      </c>
      <c r="H43" s="5">
        <v>0</v>
      </c>
      <c r="I43" s="96">
        <v>10</v>
      </c>
      <c r="J43" t="str">
        <f t="shared" si="0"/>
        <v>SN999</v>
      </c>
      <c r="K43" s="8" t="e">
        <v>#N/A</v>
      </c>
      <c r="L43" s="182" t="s">
        <v>472</v>
      </c>
      <c r="M43" s="8" t="e">
        <v>#VALUE!</v>
      </c>
      <c r="N43" s="8" t="e">
        <v>#VALUE!</v>
      </c>
      <c r="O43" s="8" t="e">
        <f t="shared" si="1"/>
        <v>#VALUE!</v>
      </c>
      <c r="P43" s="8" t="e">
        <f t="shared" si="2"/>
        <v>#VALUE!</v>
      </c>
      <c r="Q43" s="183" t="e">
        <v>#VALUE!</v>
      </c>
      <c r="R43" s="8">
        <v>5</v>
      </c>
      <c r="S43" s="8">
        <v>85</v>
      </c>
      <c r="T43" s="8" t="e">
        <f t="shared" si="3"/>
        <v>#VALUE!</v>
      </c>
      <c r="U43" s="8" t="e">
        <f t="shared" si="4"/>
        <v>#VALUE!</v>
      </c>
      <c r="V43" s="8" t="e">
        <f>IF('LL Revascularisation Summary'!$P$3=2, Q43, IF('LL Revascularisation Summary'!$P$3=1,L43))</f>
        <v>#VALUE!</v>
      </c>
      <c r="W43" s="183" t="e">
        <f>IF('LL Revascularisation Summary'!$P$3=2, U43, IF('LL Revascularisation Summary'!$P$3=1,P43))</f>
        <v>#VALUE!</v>
      </c>
      <c r="X43" s="183" t="e">
        <f>IF('LL Revascularisation Summary'!$P$3=2, T43, IF('LL Revascularisation Summary'!$P$3=1,O43))</f>
        <v>#VALUE!</v>
      </c>
      <c r="Y43" s="184">
        <f t="shared" si="5"/>
        <v>1</v>
      </c>
      <c r="Z43" s="184">
        <f t="shared" si="6"/>
        <v>0</v>
      </c>
      <c r="AA43" s="184">
        <f t="shared" si="7"/>
        <v>0</v>
      </c>
      <c r="AB43" s="8">
        <v>1</v>
      </c>
    </row>
    <row r="44" spans="1:28" x14ac:dyDescent="0.25">
      <c r="A44" t="s">
        <v>123</v>
      </c>
      <c r="B44" t="s">
        <v>124</v>
      </c>
      <c r="C44" s="95">
        <v>27</v>
      </c>
      <c r="D44" s="120" t="s">
        <v>192</v>
      </c>
      <c r="E44" s="162">
        <v>0.81000000238418579</v>
      </c>
      <c r="F44" s="5">
        <v>59</v>
      </c>
      <c r="G44" s="5">
        <v>18</v>
      </c>
      <c r="H44" s="5">
        <v>2</v>
      </c>
      <c r="I44" s="96">
        <v>79</v>
      </c>
      <c r="J44" t="str">
        <f t="shared" si="0"/>
        <v>SG999</v>
      </c>
      <c r="K44" s="8">
        <v>1</v>
      </c>
      <c r="L44" s="182">
        <v>3</v>
      </c>
      <c r="M44" s="8">
        <v>1</v>
      </c>
      <c r="N44" s="8">
        <v>5</v>
      </c>
      <c r="O44" s="8">
        <f t="shared" si="1"/>
        <v>2</v>
      </c>
      <c r="P44" s="8">
        <f t="shared" si="2"/>
        <v>2</v>
      </c>
      <c r="Q44" s="183">
        <v>81</v>
      </c>
      <c r="R44" s="8">
        <v>62</v>
      </c>
      <c r="S44" s="8">
        <v>94</v>
      </c>
      <c r="T44" s="8">
        <f t="shared" si="3"/>
        <v>19</v>
      </c>
      <c r="U44" s="8">
        <f t="shared" si="4"/>
        <v>13</v>
      </c>
      <c r="V44" s="8">
        <f>IF('LL Revascularisation Summary'!$P$3=2, Q44, IF('LL Revascularisation Summary'!$P$3=1,L44))</f>
        <v>81</v>
      </c>
      <c r="W44" s="183">
        <f>IF('LL Revascularisation Summary'!$P$3=2, U44, IF('LL Revascularisation Summary'!$P$3=1,P44))</f>
        <v>13</v>
      </c>
      <c r="X44" s="183">
        <f>IF('LL Revascularisation Summary'!$P$3=2, T44, IF('LL Revascularisation Summary'!$P$3=1,O44))</f>
        <v>19</v>
      </c>
      <c r="Y44" s="184">
        <f t="shared" si="5"/>
        <v>0.74683544303797467</v>
      </c>
      <c r="Z44" s="184">
        <f t="shared" si="6"/>
        <v>0.22784810126582278</v>
      </c>
      <c r="AA44" s="184">
        <f t="shared" si="7"/>
        <v>2.5316455696202531E-2</v>
      </c>
      <c r="AB44" s="8">
        <v>1</v>
      </c>
    </row>
    <row r="45" spans="1:28" x14ac:dyDescent="0.25">
      <c r="A45" t="s">
        <v>125</v>
      </c>
      <c r="B45" t="s">
        <v>126</v>
      </c>
      <c r="C45" s="95">
        <v>20</v>
      </c>
      <c r="D45" s="120" t="s">
        <v>975</v>
      </c>
      <c r="E45" s="162">
        <v>0.69999998807907104</v>
      </c>
      <c r="F45" s="5">
        <v>79</v>
      </c>
      <c r="G45" s="5">
        <v>3</v>
      </c>
      <c r="H45" s="5">
        <v>0</v>
      </c>
      <c r="I45" s="96">
        <v>82</v>
      </c>
      <c r="J45" t="str">
        <f t="shared" si="0"/>
        <v>SH999</v>
      </c>
      <c r="K45" s="8">
        <v>5</v>
      </c>
      <c r="L45" s="182">
        <v>4</v>
      </c>
      <c r="M45" s="8">
        <v>1</v>
      </c>
      <c r="N45" s="8">
        <v>9</v>
      </c>
      <c r="O45" s="8">
        <f t="shared" si="1"/>
        <v>3</v>
      </c>
      <c r="P45" s="8">
        <f t="shared" si="2"/>
        <v>5</v>
      </c>
      <c r="Q45" s="183">
        <v>70</v>
      </c>
      <c r="R45" s="8">
        <v>46</v>
      </c>
      <c r="S45" s="8">
        <v>88</v>
      </c>
      <c r="T45" s="8">
        <f t="shared" si="3"/>
        <v>24</v>
      </c>
      <c r="U45" s="8">
        <f t="shared" si="4"/>
        <v>18</v>
      </c>
      <c r="V45" s="8">
        <f>IF('LL Revascularisation Summary'!$P$3=2, Q45, IF('LL Revascularisation Summary'!$P$3=1,L45))</f>
        <v>70</v>
      </c>
      <c r="W45" s="183">
        <f>IF('LL Revascularisation Summary'!$P$3=2, U45, IF('LL Revascularisation Summary'!$P$3=1,P45))</f>
        <v>18</v>
      </c>
      <c r="X45" s="183">
        <f>IF('LL Revascularisation Summary'!$P$3=2, T45, IF('LL Revascularisation Summary'!$P$3=1,O45))</f>
        <v>24</v>
      </c>
      <c r="Y45" s="184">
        <f t="shared" si="5"/>
        <v>0.96341463414634143</v>
      </c>
      <c r="Z45" s="184">
        <f t="shared" si="6"/>
        <v>3.6585365853658534E-2</v>
      </c>
      <c r="AA45" s="184">
        <f t="shared" si="7"/>
        <v>0</v>
      </c>
      <c r="AB45" s="8">
        <v>1</v>
      </c>
    </row>
    <row r="46" spans="1:28" x14ac:dyDescent="0.25">
      <c r="A46" t="s">
        <v>127</v>
      </c>
      <c r="B46" t="s">
        <v>128</v>
      </c>
      <c r="C46" s="95">
        <v>15</v>
      </c>
      <c r="D46" s="120" t="s">
        <v>976</v>
      </c>
      <c r="E46" s="162">
        <v>0.60000002384185791</v>
      </c>
      <c r="F46" s="5">
        <v>50</v>
      </c>
      <c r="G46" s="5">
        <v>11</v>
      </c>
      <c r="H46" s="5">
        <v>0</v>
      </c>
      <c r="I46" s="96">
        <v>61</v>
      </c>
      <c r="J46" t="str">
        <f t="shared" si="0"/>
        <v>SL999</v>
      </c>
      <c r="K46" s="8">
        <v>23</v>
      </c>
      <c r="L46" s="182">
        <v>5</v>
      </c>
      <c r="M46" s="8">
        <v>3</v>
      </c>
      <c r="N46" s="8">
        <v>12</v>
      </c>
      <c r="O46" s="8">
        <f t="shared" si="1"/>
        <v>2</v>
      </c>
      <c r="P46" s="8">
        <f t="shared" si="2"/>
        <v>7</v>
      </c>
      <c r="Q46" s="183">
        <v>60</v>
      </c>
      <c r="R46" s="8">
        <v>32</v>
      </c>
      <c r="S46" s="8">
        <v>84</v>
      </c>
      <c r="T46" s="8">
        <f t="shared" si="3"/>
        <v>28</v>
      </c>
      <c r="U46" s="8">
        <f t="shared" si="4"/>
        <v>24</v>
      </c>
      <c r="V46" s="8">
        <f>IF('LL Revascularisation Summary'!$P$3=2, Q46, IF('LL Revascularisation Summary'!$P$3=1,L46))</f>
        <v>60</v>
      </c>
      <c r="W46" s="183">
        <f>IF('LL Revascularisation Summary'!$P$3=2, U46, IF('LL Revascularisation Summary'!$P$3=1,P46))</f>
        <v>24</v>
      </c>
      <c r="X46" s="183">
        <f>IF('LL Revascularisation Summary'!$P$3=2, T46, IF('LL Revascularisation Summary'!$P$3=1,O46))</f>
        <v>28</v>
      </c>
      <c r="Y46" s="184">
        <f t="shared" si="5"/>
        <v>0.81967213114754101</v>
      </c>
      <c r="Z46" s="184">
        <f t="shared" si="6"/>
        <v>0.18032786885245902</v>
      </c>
      <c r="AA46" s="184">
        <f t="shared" si="7"/>
        <v>0</v>
      </c>
      <c r="AB46" s="8">
        <v>1</v>
      </c>
    </row>
    <row r="47" spans="1:28" x14ac:dyDescent="0.25">
      <c r="A47" t="s">
        <v>131</v>
      </c>
      <c r="B47" t="s">
        <v>132</v>
      </c>
      <c r="C47" s="95">
        <v>21</v>
      </c>
      <c r="D47" s="120" t="s">
        <v>166</v>
      </c>
      <c r="E47" s="162">
        <v>0.62000000476837158</v>
      </c>
      <c r="F47" s="5">
        <v>65</v>
      </c>
      <c r="G47" s="5">
        <v>11</v>
      </c>
      <c r="H47" s="5">
        <v>0</v>
      </c>
      <c r="I47" s="96">
        <v>76</v>
      </c>
      <c r="J47" t="str">
        <f t="shared" si="0"/>
        <v>SS999</v>
      </c>
      <c r="K47" s="8">
        <v>18</v>
      </c>
      <c r="L47" s="182">
        <v>4</v>
      </c>
      <c r="M47" s="8">
        <v>2</v>
      </c>
      <c r="N47" s="8">
        <v>8</v>
      </c>
      <c r="O47" s="8">
        <f t="shared" si="1"/>
        <v>2</v>
      </c>
      <c r="P47" s="8">
        <f t="shared" si="2"/>
        <v>4</v>
      </c>
      <c r="Q47" s="183">
        <v>62</v>
      </c>
      <c r="R47" s="8">
        <v>38</v>
      </c>
      <c r="S47" s="8">
        <v>82</v>
      </c>
      <c r="T47" s="8">
        <f t="shared" si="3"/>
        <v>24</v>
      </c>
      <c r="U47" s="8">
        <f t="shared" si="4"/>
        <v>20</v>
      </c>
      <c r="V47" s="8">
        <f>IF('LL Revascularisation Summary'!$P$3=2, Q47, IF('LL Revascularisation Summary'!$P$3=1,L47))</f>
        <v>62</v>
      </c>
      <c r="W47" s="183">
        <f>IF('LL Revascularisation Summary'!$P$3=2, U47, IF('LL Revascularisation Summary'!$P$3=1,P47))</f>
        <v>20</v>
      </c>
      <c r="X47" s="183">
        <f>IF('LL Revascularisation Summary'!$P$3=2, T47, IF('LL Revascularisation Summary'!$P$3=1,O47))</f>
        <v>24</v>
      </c>
      <c r="Y47" s="184">
        <f t="shared" si="5"/>
        <v>0.85526315789473684</v>
      </c>
      <c r="Z47" s="184">
        <f t="shared" si="6"/>
        <v>0.14473684210526316</v>
      </c>
      <c r="AA47" s="184">
        <f t="shared" si="7"/>
        <v>0</v>
      </c>
      <c r="AB47" s="8">
        <v>1</v>
      </c>
    </row>
    <row r="48" spans="1:28" x14ac:dyDescent="0.25">
      <c r="A48" t="s">
        <v>133</v>
      </c>
      <c r="B48" t="s">
        <v>134</v>
      </c>
      <c r="C48" s="95">
        <v>21</v>
      </c>
      <c r="D48" s="120" t="s">
        <v>776</v>
      </c>
      <c r="E48" s="162">
        <v>0.62000000476837158</v>
      </c>
      <c r="F48" s="5">
        <v>57</v>
      </c>
      <c r="G48" s="5">
        <v>10</v>
      </c>
      <c r="H48" s="5">
        <v>0</v>
      </c>
      <c r="I48" s="96">
        <v>67</v>
      </c>
      <c r="J48" t="str">
        <f t="shared" si="0"/>
        <v>ST999</v>
      </c>
      <c r="K48" s="8">
        <v>19</v>
      </c>
      <c r="L48" s="182">
        <v>4</v>
      </c>
      <c r="M48" s="8">
        <v>1</v>
      </c>
      <c r="N48" s="8">
        <v>10</v>
      </c>
      <c r="O48" s="8">
        <f t="shared" si="1"/>
        <v>3</v>
      </c>
      <c r="P48" s="8">
        <f t="shared" si="2"/>
        <v>6</v>
      </c>
      <c r="Q48" s="183">
        <v>62</v>
      </c>
      <c r="R48" s="8">
        <v>38</v>
      </c>
      <c r="S48" s="8">
        <v>82</v>
      </c>
      <c r="T48" s="8">
        <f t="shared" si="3"/>
        <v>24</v>
      </c>
      <c r="U48" s="8">
        <f t="shared" si="4"/>
        <v>20</v>
      </c>
      <c r="V48" s="8">
        <f>IF('LL Revascularisation Summary'!$P$3=2, Q48, IF('LL Revascularisation Summary'!$P$3=1,L48))</f>
        <v>62</v>
      </c>
      <c r="W48" s="183">
        <f>IF('LL Revascularisation Summary'!$P$3=2, U48, IF('LL Revascularisation Summary'!$P$3=1,P48))</f>
        <v>20</v>
      </c>
      <c r="X48" s="183">
        <f>IF('LL Revascularisation Summary'!$P$3=2, T48, IF('LL Revascularisation Summary'!$P$3=1,O48))</f>
        <v>24</v>
      </c>
      <c r="Y48" s="184">
        <f t="shared" si="5"/>
        <v>0.85074626865671643</v>
      </c>
      <c r="Z48" s="184">
        <f t="shared" si="6"/>
        <v>0.14925373134328357</v>
      </c>
      <c r="AA48" s="184">
        <f t="shared" si="7"/>
        <v>0</v>
      </c>
      <c r="AB48" s="8">
        <v>1</v>
      </c>
    </row>
    <row r="49" spans="1:28" x14ac:dyDescent="0.25">
      <c r="A49" t="s">
        <v>60</v>
      </c>
      <c r="B49" t="s">
        <v>61</v>
      </c>
      <c r="C49" s="95">
        <v>116</v>
      </c>
      <c r="D49" s="120" t="s">
        <v>162</v>
      </c>
      <c r="E49" s="162">
        <v>0.67000001668930054</v>
      </c>
      <c r="F49" s="5">
        <v>37</v>
      </c>
      <c r="G49" s="5">
        <v>51</v>
      </c>
      <c r="H49" s="5">
        <v>208</v>
      </c>
      <c r="I49" s="96">
        <v>296</v>
      </c>
      <c r="J49" t="str">
        <f t="shared" si="0"/>
        <v>RM1</v>
      </c>
      <c r="K49" s="8">
        <v>6</v>
      </c>
      <c r="L49" s="182">
        <v>4</v>
      </c>
      <c r="M49" s="8">
        <v>2</v>
      </c>
      <c r="N49" s="8">
        <v>6</v>
      </c>
      <c r="O49" s="8">
        <f t="shared" si="1"/>
        <v>2</v>
      </c>
      <c r="P49" s="8">
        <f t="shared" si="2"/>
        <v>2</v>
      </c>
      <c r="Q49" s="183">
        <v>67</v>
      </c>
      <c r="R49" s="8">
        <v>57.999999999999993</v>
      </c>
      <c r="S49" s="8">
        <v>76</v>
      </c>
      <c r="T49" s="8">
        <f t="shared" si="3"/>
        <v>9.0000000000000071</v>
      </c>
      <c r="U49" s="8">
        <f t="shared" si="4"/>
        <v>9</v>
      </c>
      <c r="V49" s="8">
        <f>IF('LL Revascularisation Summary'!$P$3=2, Q49, IF('LL Revascularisation Summary'!$P$3=1,L49))</f>
        <v>67</v>
      </c>
      <c r="W49" s="183">
        <f>IF('LL Revascularisation Summary'!$P$3=2, U49, IF('LL Revascularisation Summary'!$P$3=1,P49))</f>
        <v>9</v>
      </c>
      <c r="X49" s="183">
        <f>IF('LL Revascularisation Summary'!$P$3=2, T49, IF('LL Revascularisation Summary'!$P$3=1,O49))</f>
        <v>9.0000000000000071</v>
      </c>
      <c r="Y49" s="184">
        <f t="shared" si="5"/>
        <v>0.125</v>
      </c>
      <c r="Z49" s="184">
        <f t="shared" si="6"/>
        <v>0.17229729729729729</v>
      </c>
      <c r="AA49" s="184">
        <f t="shared" si="7"/>
        <v>0.70270270270270274</v>
      </c>
      <c r="AB49" s="8">
        <v>1</v>
      </c>
    </row>
    <row r="50" spans="1:28" x14ac:dyDescent="0.25">
      <c r="A50" t="s">
        <v>92</v>
      </c>
      <c r="B50" t="s">
        <v>93</v>
      </c>
      <c r="C50" s="95">
        <v>110</v>
      </c>
      <c r="D50" s="120" t="s">
        <v>174</v>
      </c>
      <c r="E50" s="162">
        <v>0.61000001430511475</v>
      </c>
      <c r="F50" s="5">
        <v>59</v>
      </c>
      <c r="G50" s="5">
        <v>57</v>
      </c>
      <c r="H50" s="5">
        <v>192</v>
      </c>
      <c r="I50" s="96">
        <v>308</v>
      </c>
      <c r="J50" t="str">
        <f t="shared" si="0"/>
        <v>RVJ</v>
      </c>
      <c r="K50" s="8">
        <v>21</v>
      </c>
      <c r="L50" s="182">
        <v>4</v>
      </c>
      <c r="M50" s="8">
        <v>2</v>
      </c>
      <c r="N50" s="8">
        <v>7</v>
      </c>
      <c r="O50" s="8">
        <f t="shared" si="1"/>
        <v>2</v>
      </c>
      <c r="P50" s="8">
        <f t="shared" si="2"/>
        <v>3</v>
      </c>
      <c r="Q50" s="183">
        <v>61</v>
      </c>
      <c r="R50" s="8">
        <v>51</v>
      </c>
      <c r="S50" s="8">
        <v>70</v>
      </c>
      <c r="T50" s="8">
        <f t="shared" si="3"/>
        <v>10</v>
      </c>
      <c r="U50" s="8">
        <f t="shared" si="4"/>
        <v>9</v>
      </c>
      <c r="V50" s="8">
        <f>IF('LL Revascularisation Summary'!$P$3=2, Q50, IF('LL Revascularisation Summary'!$P$3=1,L50))</f>
        <v>61</v>
      </c>
      <c r="W50" s="183">
        <f>IF('LL Revascularisation Summary'!$P$3=2, U50, IF('LL Revascularisation Summary'!$P$3=1,P50))</f>
        <v>9</v>
      </c>
      <c r="X50" s="183">
        <f>IF('LL Revascularisation Summary'!$P$3=2, T50, IF('LL Revascularisation Summary'!$P$3=1,O50))</f>
        <v>10</v>
      </c>
      <c r="Y50" s="184">
        <f t="shared" si="5"/>
        <v>0.19155844155844157</v>
      </c>
      <c r="Z50" s="184">
        <f t="shared" si="6"/>
        <v>0.18506493506493507</v>
      </c>
      <c r="AA50" s="184">
        <f t="shared" si="7"/>
        <v>0.62337662337662336</v>
      </c>
      <c r="AB50" s="8">
        <v>1</v>
      </c>
    </row>
    <row r="51" spans="1:28" x14ac:dyDescent="0.25">
      <c r="A51" t="s">
        <v>433</v>
      </c>
      <c r="B51" t="s">
        <v>353</v>
      </c>
      <c r="C51" s="95">
        <v>52</v>
      </c>
      <c r="D51" s="120" t="s">
        <v>194</v>
      </c>
      <c r="E51" s="162">
        <v>0.56000000238418579</v>
      </c>
      <c r="F51" s="5">
        <v>68</v>
      </c>
      <c r="G51" s="5">
        <v>19</v>
      </c>
      <c r="H51" s="5">
        <v>182</v>
      </c>
      <c r="I51" s="96">
        <v>269</v>
      </c>
      <c r="J51" t="str">
        <f t="shared" si="0"/>
        <v>RNN</v>
      </c>
      <c r="K51" s="8">
        <v>30</v>
      </c>
      <c r="L51" s="182">
        <v>5</v>
      </c>
      <c r="M51" s="8">
        <v>2</v>
      </c>
      <c r="N51" s="8">
        <v>10</v>
      </c>
      <c r="O51" s="8">
        <f t="shared" si="1"/>
        <v>3</v>
      </c>
      <c r="P51" s="8">
        <f t="shared" si="2"/>
        <v>5</v>
      </c>
      <c r="Q51" s="183">
        <v>56</v>
      </c>
      <c r="R51" s="8">
        <v>41</v>
      </c>
      <c r="S51" s="8">
        <v>70</v>
      </c>
      <c r="T51" s="8">
        <f t="shared" si="3"/>
        <v>15</v>
      </c>
      <c r="U51" s="8">
        <f t="shared" si="4"/>
        <v>14</v>
      </c>
      <c r="V51" s="8">
        <f>IF('LL Revascularisation Summary'!$P$3=2, Q51, IF('LL Revascularisation Summary'!$P$3=1,L51))</f>
        <v>56</v>
      </c>
      <c r="W51" s="183">
        <f>IF('LL Revascularisation Summary'!$P$3=2, U51, IF('LL Revascularisation Summary'!$P$3=1,P51))</f>
        <v>14</v>
      </c>
      <c r="X51" s="183">
        <f>IF('LL Revascularisation Summary'!$P$3=2, T51, IF('LL Revascularisation Summary'!$P$3=1,O51))</f>
        <v>15</v>
      </c>
      <c r="Y51" s="184">
        <f t="shared" si="5"/>
        <v>0.25278810408921931</v>
      </c>
      <c r="Z51" s="184">
        <f t="shared" si="6"/>
        <v>7.0631970260223054E-2</v>
      </c>
      <c r="AA51" s="184">
        <f t="shared" si="7"/>
        <v>0.67657992565055758</v>
      </c>
      <c r="AB51" s="8">
        <v>1</v>
      </c>
    </row>
    <row r="52" spans="1:28" x14ac:dyDescent="0.25">
      <c r="A52" t="s">
        <v>31</v>
      </c>
      <c r="B52" t="s">
        <v>32</v>
      </c>
      <c r="C52" s="95" t="s">
        <v>227</v>
      </c>
      <c r="D52" s="120" t="s">
        <v>227</v>
      </c>
      <c r="E52" s="165" t="s">
        <v>227</v>
      </c>
      <c r="F52" s="5" t="s">
        <v>227</v>
      </c>
      <c r="G52" s="5" t="s">
        <v>227</v>
      </c>
      <c r="H52" s="5" t="s">
        <v>227</v>
      </c>
      <c r="I52" s="96" t="s">
        <v>227</v>
      </c>
      <c r="J52" t="str">
        <f t="shared" si="0"/>
        <v>RGN</v>
      </c>
      <c r="K52" s="8" t="e">
        <v>#N/A</v>
      </c>
      <c r="L52" s="182" t="s">
        <v>227</v>
      </c>
      <c r="M52" s="8" t="e">
        <v>#VALUE!</v>
      </c>
      <c r="N52" s="8" t="e">
        <v>#VALUE!</v>
      </c>
      <c r="O52" s="8" t="e">
        <f t="shared" si="1"/>
        <v>#VALUE!</v>
      </c>
      <c r="P52" s="8" t="e">
        <f t="shared" si="2"/>
        <v>#VALUE!</v>
      </c>
      <c r="Q52" s="183" t="e">
        <v>#VALUE!</v>
      </c>
      <c r="R52" s="8" t="e">
        <v>#VALUE!</v>
      </c>
      <c r="S52" s="8" t="e">
        <v>#VALUE!</v>
      </c>
      <c r="T52" s="8" t="e">
        <f t="shared" si="3"/>
        <v>#VALUE!</v>
      </c>
      <c r="U52" s="8" t="e">
        <f t="shared" si="4"/>
        <v>#VALUE!</v>
      </c>
      <c r="V52" s="8" t="e">
        <f>IF('LL Revascularisation Summary'!$P$3=2, Q52, IF('LL Revascularisation Summary'!$P$3=1,L52))</f>
        <v>#VALUE!</v>
      </c>
      <c r="W52" s="183" t="e">
        <f>IF('LL Revascularisation Summary'!$P$3=2, U52, IF('LL Revascularisation Summary'!$P$3=1,P52))</f>
        <v>#VALUE!</v>
      </c>
      <c r="X52" s="183" t="e">
        <f>IF('LL Revascularisation Summary'!$P$3=2, T52, IF('LL Revascularisation Summary'!$P$3=1,O52))</f>
        <v>#VALUE!</v>
      </c>
      <c r="Y52" s="184" t="e">
        <f t="shared" si="5"/>
        <v>#VALUE!</v>
      </c>
      <c r="Z52" s="184" t="e">
        <f t="shared" si="6"/>
        <v>#VALUE!</v>
      </c>
      <c r="AA52" s="184" t="e">
        <f t="shared" si="7"/>
        <v>#VALUE!</v>
      </c>
      <c r="AB52" s="8">
        <v>0</v>
      </c>
    </row>
    <row r="53" spans="1:28" x14ac:dyDescent="0.25">
      <c r="A53" t="s">
        <v>66</v>
      </c>
      <c r="B53" t="s">
        <v>67</v>
      </c>
      <c r="C53" s="95">
        <v>72</v>
      </c>
      <c r="D53" s="120" t="s">
        <v>174</v>
      </c>
      <c r="E53" s="162">
        <v>0.57999998331069946</v>
      </c>
      <c r="F53" s="5">
        <v>49</v>
      </c>
      <c r="G53" s="5">
        <v>25</v>
      </c>
      <c r="H53" s="5">
        <v>212</v>
      </c>
      <c r="I53" s="96">
        <v>286</v>
      </c>
      <c r="J53" t="str">
        <f t="shared" si="0"/>
        <v>RNS</v>
      </c>
      <c r="K53" s="8">
        <v>24</v>
      </c>
      <c r="L53" s="182">
        <v>4</v>
      </c>
      <c r="M53" s="8">
        <v>2</v>
      </c>
      <c r="N53" s="8">
        <v>7</v>
      </c>
      <c r="O53" s="8">
        <f t="shared" si="1"/>
        <v>2</v>
      </c>
      <c r="P53" s="8">
        <f t="shared" si="2"/>
        <v>3</v>
      </c>
      <c r="Q53" s="183">
        <v>58</v>
      </c>
      <c r="R53" s="8">
        <v>46</v>
      </c>
      <c r="S53" s="8">
        <v>70</v>
      </c>
      <c r="T53" s="8">
        <f t="shared" si="3"/>
        <v>12</v>
      </c>
      <c r="U53" s="8">
        <f t="shared" si="4"/>
        <v>12</v>
      </c>
      <c r="V53" s="8">
        <f>IF('LL Revascularisation Summary'!$P$3=2, Q53, IF('LL Revascularisation Summary'!$P$3=1,L53))</f>
        <v>58</v>
      </c>
      <c r="W53" s="183">
        <f>IF('LL Revascularisation Summary'!$P$3=2, U53, IF('LL Revascularisation Summary'!$P$3=1,P53))</f>
        <v>12</v>
      </c>
      <c r="X53" s="183">
        <f>IF('LL Revascularisation Summary'!$P$3=2, T53, IF('LL Revascularisation Summary'!$P$3=1,O53))</f>
        <v>12</v>
      </c>
      <c r="Y53" s="184">
        <f t="shared" si="5"/>
        <v>0.17132867132867133</v>
      </c>
      <c r="Z53" s="184">
        <f t="shared" si="6"/>
        <v>8.7412587412587409E-2</v>
      </c>
      <c r="AA53" s="184">
        <f t="shared" si="7"/>
        <v>0.74125874125874125</v>
      </c>
      <c r="AB53" s="8">
        <v>1</v>
      </c>
    </row>
    <row r="54" spans="1:28" x14ac:dyDescent="0.25">
      <c r="A54" t="s">
        <v>429</v>
      </c>
      <c r="B54" t="s">
        <v>430</v>
      </c>
      <c r="C54" s="95">
        <v>120</v>
      </c>
      <c r="D54" s="120" t="s">
        <v>977</v>
      </c>
      <c r="E54" s="162">
        <v>0.62999999523162842</v>
      </c>
      <c r="F54" s="5">
        <v>112</v>
      </c>
      <c r="G54" s="5">
        <v>105</v>
      </c>
      <c r="H54" s="5">
        <v>98</v>
      </c>
      <c r="I54" s="96">
        <v>315</v>
      </c>
      <c r="J54" t="str">
        <f t="shared" si="0"/>
        <v>RM3</v>
      </c>
      <c r="K54" s="8">
        <v>15</v>
      </c>
      <c r="L54" s="182">
        <v>5</v>
      </c>
      <c r="M54" s="8">
        <v>2</v>
      </c>
      <c r="N54" s="8">
        <v>7</v>
      </c>
      <c r="O54" s="8">
        <f t="shared" si="1"/>
        <v>3</v>
      </c>
      <c r="P54" s="8">
        <f t="shared" si="2"/>
        <v>2</v>
      </c>
      <c r="Q54" s="183">
        <v>63</v>
      </c>
      <c r="R54" s="8">
        <v>53</v>
      </c>
      <c r="S54" s="8">
        <v>71</v>
      </c>
      <c r="T54" s="8">
        <f t="shared" si="3"/>
        <v>10</v>
      </c>
      <c r="U54" s="8">
        <f t="shared" si="4"/>
        <v>8</v>
      </c>
      <c r="V54" s="8">
        <f>IF('LL Revascularisation Summary'!$P$3=2, Q54, IF('LL Revascularisation Summary'!$P$3=1,L54))</f>
        <v>63</v>
      </c>
      <c r="W54" s="183">
        <f>IF('LL Revascularisation Summary'!$P$3=2, U54, IF('LL Revascularisation Summary'!$P$3=1,P54))</f>
        <v>8</v>
      </c>
      <c r="X54" s="183">
        <f>IF('LL Revascularisation Summary'!$P$3=2, T54, IF('LL Revascularisation Summary'!$P$3=1,O54))</f>
        <v>10</v>
      </c>
      <c r="Y54" s="184">
        <f t="shared" si="5"/>
        <v>0.35555555555555557</v>
      </c>
      <c r="Z54" s="184">
        <f t="shared" si="6"/>
        <v>0.33333333333333331</v>
      </c>
      <c r="AA54" s="184">
        <f t="shared" si="7"/>
        <v>0.31111111111111112</v>
      </c>
      <c r="AB54" s="8">
        <v>1</v>
      </c>
    </row>
    <row r="55" spans="1:28" x14ac:dyDescent="0.25">
      <c r="A55" t="s">
        <v>109</v>
      </c>
      <c r="B55" t="s">
        <v>110</v>
      </c>
      <c r="C55" s="95">
        <v>23</v>
      </c>
      <c r="D55" s="120" t="s">
        <v>308</v>
      </c>
      <c r="E55" s="162">
        <v>0.17000000178813934</v>
      </c>
      <c r="F55" s="5">
        <v>53</v>
      </c>
      <c r="G55" s="5">
        <v>4</v>
      </c>
      <c r="H55" s="5">
        <v>0</v>
      </c>
      <c r="I55" s="96">
        <v>57</v>
      </c>
      <c r="J55" t="str">
        <f t="shared" si="0"/>
        <v>RX1</v>
      </c>
      <c r="K55" s="8">
        <v>59</v>
      </c>
      <c r="L55" s="182">
        <v>9</v>
      </c>
      <c r="M55" s="8">
        <v>6</v>
      </c>
      <c r="N55" s="8">
        <v>15</v>
      </c>
      <c r="O55" s="8">
        <f t="shared" si="1"/>
        <v>3</v>
      </c>
      <c r="P55" s="8">
        <f t="shared" si="2"/>
        <v>6</v>
      </c>
      <c r="Q55" s="183">
        <v>17</v>
      </c>
      <c r="R55" s="8">
        <v>5</v>
      </c>
      <c r="S55" s="8">
        <v>39</v>
      </c>
      <c r="T55" s="8">
        <f t="shared" si="3"/>
        <v>12</v>
      </c>
      <c r="U55" s="8">
        <f t="shared" si="4"/>
        <v>22</v>
      </c>
      <c r="V55" s="8">
        <f>IF('LL Revascularisation Summary'!$P$3=2, Q55, IF('LL Revascularisation Summary'!$P$3=1,L55))</f>
        <v>17</v>
      </c>
      <c r="W55" s="183">
        <f>IF('LL Revascularisation Summary'!$P$3=2, U55, IF('LL Revascularisation Summary'!$P$3=1,P55))</f>
        <v>22</v>
      </c>
      <c r="X55" s="183">
        <f>IF('LL Revascularisation Summary'!$P$3=2, T55, IF('LL Revascularisation Summary'!$P$3=1,O55))</f>
        <v>12</v>
      </c>
      <c r="Y55" s="184">
        <f t="shared" si="5"/>
        <v>0.92982456140350878</v>
      </c>
      <c r="Z55" s="184">
        <f t="shared" si="6"/>
        <v>7.0175438596491224E-2</v>
      </c>
      <c r="AA55" s="184">
        <f t="shared" si="7"/>
        <v>0</v>
      </c>
      <c r="AB55" s="8">
        <v>1</v>
      </c>
    </row>
    <row r="56" spans="1:28" x14ac:dyDescent="0.25">
      <c r="A56" t="s">
        <v>88</v>
      </c>
      <c r="B56" t="s">
        <v>298</v>
      </c>
      <c r="C56" s="95">
        <v>12</v>
      </c>
      <c r="D56" s="120" t="s">
        <v>978</v>
      </c>
      <c r="E56" s="162">
        <v>0.5</v>
      </c>
      <c r="F56" s="5">
        <v>38</v>
      </c>
      <c r="G56" s="5">
        <v>15</v>
      </c>
      <c r="H56" s="5">
        <v>5</v>
      </c>
      <c r="I56" s="96">
        <v>58</v>
      </c>
      <c r="J56" t="str">
        <f t="shared" si="0"/>
        <v>RTH</v>
      </c>
      <c r="K56" s="8">
        <v>39</v>
      </c>
      <c r="L56" s="182">
        <v>6</v>
      </c>
      <c r="M56" s="8">
        <v>3</v>
      </c>
      <c r="N56" s="8">
        <v>11</v>
      </c>
      <c r="O56" s="8">
        <f t="shared" si="1"/>
        <v>3</v>
      </c>
      <c r="P56" s="8">
        <f t="shared" si="2"/>
        <v>5</v>
      </c>
      <c r="Q56" s="183">
        <v>50</v>
      </c>
      <c r="R56" s="8">
        <v>21</v>
      </c>
      <c r="S56" s="8">
        <v>79</v>
      </c>
      <c r="T56" s="8">
        <f t="shared" si="3"/>
        <v>29</v>
      </c>
      <c r="U56" s="8">
        <f t="shared" si="4"/>
        <v>29</v>
      </c>
      <c r="V56" s="8">
        <f>IF('LL Revascularisation Summary'!$P$3=2, Q56, IF('LL Revascularisation Summary'!$P$3=1,L56))</f>
        <v>50</v>
      </c>
      <c r="W56" s="183">
        <f>IF('LL Revascularisation Summary'!$P$3=2, U56, IF('LL Revascularisation Summary'!$P$3=1,P56))</f>
        <v>29</v>
      </c>
      <c r="X56" s="183">
        <f>IF('LL Revascularisation Summary'!$P$3=2, T56, IF('LL Revascularisation Summary'!$P$3=1,O56))</f>
        <v>29</v>
      </c>
      <c r="Y56" s="184">
        <f t="shared" si="5"/>
        <v>0.65517241379310343</v>
      </c>
      <c r="Z56" s="184">
        <f t="shared" si="6"/>
        <v>0.25862068965517243</v>
      </c>
      <c r="AA56" s="184">
        <f t="shared" si="7"/>
        <v>8.6206896551724144E-2</v>
      </c>
      <c r="AB56" s="8">
        <v>1</v>
      </c>
    </row>
    <row r="57" spans="1:28" x14ac:dyDescent="0.25">
      <c r="A57" t="s">
        <v>71</v>
      </c>
      <c r="B57" t="s">
        <v>72</v>
      </c>
      <c r="C57" s="95">
        <v>1</v>
      </c>
      <c r="D57" s="120" t="s">
        <v>227</v>
      </c>
      <c r="E57" s="113" t="s">
        <v>227</v>
      </c>
      <c r="F57" s="5">
        <v>10</v>
      </c>
      <c r="G57" s="5">
        <v>0</v>
      </c>
      <c r="H57" s="5">
        <v>0</v>
      </c>
      <c r="I57" s="96">
        <v>10</v>
      </c>
      <c r="J57" t="str">
        <f t="shared" si="0"/>
        <v>RQW</v>
      </c>
      <c r="K57" s="8" t="e">
        <v>#N/A</v>
      </c>
      <c r="L57" s="182" t="s">
        <v>227</v>
      </c>
      <c r="M57" s="8" t="e">
        <v>#VALUE!</v>
      </c>
      <c r="N57" s="8" t="e">
        <v>#VALUE!</v>
      </c>
      <c r="O57" s="8" t="e">
        <f t="shared" si="1"/>
        <v>#VALUE!</v>
      </c>
      <c r="P57" s="8" t="e">
        <f t="shared" si="2"/>
        <v>#VALUE!</v>
      </c>
      <c r="Q57" s="183" t="e">
        <v>#VALUE!</v>
      </c>
      <c r="R57" s="8">
        <v>0</v>
      </c>
      <c r="S57" s="8">
        <v>98</v>
      </c>
      <c r="T57" s="8" t="e">
        <f t="shared" si="3"/>
        <v>#VALUE!</v>
      </c>
      <c r="U57" s="8" t="e">
        <f t="shared" si="4"/>
        <v>#VALUE!</v>
      </c>
      <c r="V57" s="8" t="e">
        <f>IF('LL Revascularisation Summary'!$P$3=2, Q57, IF('LL Revascularisation Summary'!$P$3=1,L57))</f>
        <v>#VALUE!</v>
      </c>
      <c r="W57" s="183" t="e">
        <f>IF('LL Revascularisation Summary'!$P$3=2, U57, IF('LL Revascularisation Summary'!$P$3=1,P57))</f>
        <v>#VALUE!</v>
      </c>
      <c r="X57" s="183" t="e">
        <f>IF('LL Revascularisation Summary'!$P$3=2, T57, IF('LL Revascularisation Summary'!$P$3=1,O57))</f>
        <v>#VALUE!</v>
      </c>
      <c r="Y57" s="184">
        <f t="shared" si="5"/>
        <v>1</v>
      </c>
      <c r="Z57" s="184">
        <f t="shared" si="6"/>
        <v>0</v>
      </c>
      <c r="AA57" s="184">
        <f t="shared" si="7"/>
        <v>0</v>
      </c>
      <c r="AB57" s="8">
        <v>1</v>
      </c>
    </row>
    <row r="58" spans="1:28" x14ac:dyDescent="0.25">
      <c r="A58" t="s">
        <v>43</v>
      </c>
      <c r="B58" t="s">
        <v>44</v>
      </c>
      <c r="C58" s="166">
        <v>20</v>
      </c>
      <c r="D58" s="98" t="s">
        <v>979</v>
      </c>
      <c r="E58" s="167">
        <v>5.000000074505806E-2</v>
      </c>
      <c r="F58" s="5">
        <v>0</v>
      </c>
      <c r="G58" s="5">
        <v>0</v>
      </c>
      <c r="H58" s="5">
        <v>85</v>
      </c>
      <c r="I58" s="96">
        <v>85</v>
      </c>
      <c r="J58" t="str">
        <f t="shared" si="0"/>
        <v>RHW</v>
      </c>
      <c r="K58" s="8" t="e">
        <v>#N/A</v>
      </c>
      <c r="L58" s="182" t="s">
        <v>957</v>
      </c>
      <c r="M58" s="8">
        <v>12</v>
      </c>
      <c r="N58" s="8">
        <v>21</v>
      </c>
      <c r="O58" s="8">
        <f t="shared" si="1"/>
        <v>6</v>
      </c>
      <c r="P58" s="8">
        <f t="shared" si="2"/>
        <v>3</v>
      </c>
      <c r="Q58" s="183">
        <v>5</v>
      </c>
      <c r="R58" s="8">
        <v>0</v>
      </c>
      <c r="S58" s="8">
        <v>25</v>
      </c>
      <c r="T58" s="8">
        <f t="shared" si="3"/>
        <v>5</v>
      </c>
      <c r="U58" s="8">
        <f t="shared" si="4"/>
        <v>20</v>
      </c>
      <c r="V58" s="8">
        <f>IF('LL Revascularisation Summary'!$P$3=2, Q58, IF('LL Revascularisation Summary'!$P$3=1,L58))</f>
        <v>5</v>
      </c>
      <c r="W58" s="183">
        <f>IF('LL Revascularisation Summary'!$P$3=2, U58, IF('LL Revascularisation Summary'!$P$3=1,P58))</f>
        <v>20</v>
      </c>
      <c r="X58" s="183">
        <f>IF('LL Revascularisation Summary'!$P$3=2, T58, IF('LL Revascularisation Summary'!$P$3=1,O58))</f>
        <v>5</v>
      </c>
      <c r="Y58" s="184">
        <f t="shared" si="5"/>
        <v>0</v>
      </c>
      <c r="Z58" s="184">
        <f t="shared" si="6"/>
        <v>0</v>
      </c>
      <c r="AA58" s="184">
        <f t="shared" si="7"/>
        <v>1</v>
      </c>
      <c r="AB58" s="8">
        <v>0</v>
      </c>
    </row>
    <row r="59" spans="1:28" x14ac:dyDescent="0.25">
      <c r="A59" t="s">
        <v>81</v>
      </c>
      <c r="B59" t="s">
        <v>82</v>
      </c>
      <c r="C59" s="95">
        <v>0</v>
      </c>
      <c r="D59" s="120" t="s">
        <v>220</v>
      </c>
      <c r="E59" s="161" t="s">
        <v>220</v>
      </c>
      <c r="F59" s="5">
        <v>3</v>
      </c>
      <c r="G59" s="5">
        <v>1</v>
      </c>
      <c r="H59" s="5">
        <v>1</v>
      </c>
      <c r="I59" s="96">
        <v>5</v>
      </c>
      <c r="J59" t="str">
        <f t="shared" si="0"/>
        <v>RT3</v>
      </c>
      <c r="K59" s="8" t="e">
        <v>#N/A</v>
      </c>
      <c r="L59" s="182" t="s">
        <v>472</v>
      </c>
      <c r="M59" s="8" t="e">
        <v>#VALUE!</v>
      </c>
      <c r="N59" s="8" t="e">
        <v>#VALUE!</v>
      </c>
      <c r="O59" s="8" t="e">
        <f t="shared" si="1"/>
        <v>#VALUE!</v>
      </c>
      <c r="P59" s="8" t="e">
        <f t="shared" si="2"/>
        <v>#VALUE!</v>
      </c>
      <c r="Q59" s="183" t="e">
        <v>#VALUE!</v>
      </c>
      <c r="R59" s="8" t="e">
        <v>#VALUE!</v>
      </c>
      <c r="S59" s="8" t="e">
        <v>#VALUE!</v>
      </c>
      <c r="T59" s="8" t="e">
        <f t="shared" si="3"/>
        <v>#VALUE!</v>
      </c>
      <c r="U59" s="8" t="e">
        <f t="shared" si="4"/>
        <v>#VALUE!</v>
      </c>
      <c r="V59" s="8" t="e">
        <f>IF('LL Revascularisation Summary'!$P$3=2, Q59, IF('LL Revascularisation Summary'!$P$3=1,L59))</f>
        <v>#VALUE!</v>
      </c>
      <c r="W59" s="183" t="e">
        <f>IF('LL Revascularisation Summary'!$P$3=2, U59, IF('LL Revascularisation Summary'!$P$3=1,P59))</f>
        <v>#VALUE!</v>
      </c>
      <c r="X59" s="183" t="e">
        <f>IF('LL Revascularisation Summary'!$P$3=2, T59, IF('LL Revascularisation Summary'!$P$3=1,O59))</f>
        <v>#VALUE!</v>
      </c>
      <c r="Y59" s="184">
        <f t="shared" si="5"/>
        <v>0.6</v>
      </c>
      <c r="Z59" s="184">
        <f t="shared" si="6"/>
        <v>0.2</v>
      </c>
      <c r="AA59" s="184">
        <f t="shared" si="7"/>
        <v>0.2</v>
      </c>
      <c r="AB59" s="8">
        <v>1</v>
      </c>
    </row>
    <row r="60" spans="1:28" x14ac:dyDescent="0.25">
      <c r="A60" t="s">
        <v>27</v>
      </c>
      <c r="B60" t="s">
        <v>28</v>
      </c>
      <c r="C60" s="95">
        <v>76</v>
      </c>
      <c r="D60" s="120" t="s">
        <v>980</v>
      </c>
      <c r="E60" s="162">
        <v>0.62999999523162842</v>
      </c>
      <c r="F60" s="5">
        <v>58</v>
      </c>
      <c r="G60" s="5">
        <v>14</v>
      </c>
      <c r="H60" s="5">
        <v>174</v>
      </c>
      <c r="I60" s="96">
        <v>246</v>
      </c>
      <c r="J60" t="str">
        <f t="shared" si="0"/>
        <v>REF</v>
      </c>
      <c r="K60" s="8">
        <v>12</v>
      </c>
      <c r="L60" s="182">
        <v>3</v>
      </c>
      <c r="M60" s="8">
        <v>0</v>
      </c>
      <c r="N60" s="8">
        <v>7</v>
      </c>
      <c r="O60" s="8">
        <f t="shared" si="1"/>
        <v>3</v>
      </c>
      <c r="P60" s="8">
        <f t="shared" si="2"/>
        <v>4</v>
      </c>
      <c r="Q60" s="183">
        <v>63</v>
      </c>
      <c r="R60" s="8">
        <v>51</v>
      </c>
      <c r="S60" s="8">
        <v>74</v>
      </c>
      <c r="T60" s="8">
        <f t="shared" si="3"/>
        <v>12</v>
      </c>
      <c r="U60" s="8">
        <f t="shared" si="4"/>
        <v>11</v>
      </c>
      <c r="V60" s="8">
        <f>IF('LL Revascularisation Summary'!$P$3=2, Q60, IF('LL Revascularisation Summary'!$P$3=1,L60))</f>
        <v>63</v>
      </c>
      <c r="W60" s="183">
        <f>IF('LL Revascularisation Summary'!$P$3=2, U60, IF('LL Revascularisation Summary'!$P$3=1,P60))</f>
        <v>11</v>
      </c>
      <c r="X60" s="183">
        <f>IF('LL Revascularisation Summary'!$P$3=2, T60, IF('LL Revascularisation Summary'!$P$3=1,O60))</f>
        <v>12</v>
      </c>
      <c r="Y60" s="184">
        <f t="shared" si="5"/>
        <v>0.23577235772357724</v>
      </c>
      <c r="Z60" s="184">
        <f t="shared" si="6"/>
        <v>5.6910569105691054E-2</v>
      </c>
      <c r="AA60" s="184">
        <f t="shared" si="7"/>
        <v>0.70731707317073167</v>
      </c>
      <c r="AB60" s="8">
        <v>1</v>
      </c>
    </row>
    <row r="61" spans="1:28" x14ac:dyDescent="0.25">
      <c r="A61" t="s">
        <v>37</v>
      </c>
      <c r="B61" t="s">
        <v>596</v>
      </c>
      <c r="C61" s="95">
        <v>52</v>
      </c>
      <c r="D61" s="120" t="s">
        <v>174</v>
      </c>
      <c r="E61" s="162">
        <v>0.64999997615814209</v>
      </c>
      <c r="F61" s="5">
        <v>75</v>
      </c>
      <c r="G61" s="5">
        <v>5</v>
      </c>
      <c r="H61" s="5">
        <v>117</v>
      </c>
      <c r="I61" s="96">
        <v>197</v>
      </c>
      <c r="J61" t="str">
        <f t="shared" si="0"/>
        <v>RH8</v>
      </c>
      <c r="K61" s="8">
        <v>9</v>
      </c>
      <c r="L61" s="182">
        <v>4</v>
      </c>
      <c r="M61" s="8">
        <v>2</v>
      </c>
      <c r="N61" s="8">
        <v>7</v>
      </c>
      <c r="O61" s="8">
        <f t="shared" si="1"/>
        <v>2</v>
      </c>
      <c r="P61" s="8">
        <f t="shared" si="2"/>
        <v>3</v>
      </c>
      <c r="Q61" s="183">
        <v>65</v>
      </c>
      <c r="R61" s="8">
        <v>51</v>
      </c>
      <c r="S61" s="8">
        <v>78</v>
      </c>
      <c r="T61" s="8">
        <f t="shared" si="3"/>
        <v>14</v>
      </c>
      <c r="U61" s="8">
        <f t="shared" si="4"/>
        <v>13</v>
      </c>
      <c r="V61" s="8">
        <f>IF('LL Revascularisation Summary'!$P$3=2, Q61, IF('LL Revascularisation Summary'!$P$3=1,L61))</f>
        <v>65</v>
      </c>
      <c r="W61" s="183">
        <f>IF('LL Revascularisation Summary'!$P$3=2, U61, IF('LL Revascularisation Summary'!$P$3=1,P61))</f>
        <v>13</v>
      </c>
      <c r="X61" s="183">
        <f>IF('LL Revascularisation Summary'!$P$3=2, T61, IF('LL Revascularisation Summary'!$P$3=1,O61))</f>
        <v>14</v>
      </c>
      <c r="Y61" s="184">
        <f t="shared" si="5"/>
        <v>0.38071065989847713</v>
      </c>
      <c r="Z61" s="184">
        <f t="shared" si="6"/>
        <v>2.5380710659898477E-2</v>
      </c>
      <c r="AA61" s="184">
        <f t="shared" si="7"/>
        <v>0.59390862944162437</v>
      </c>
      <c r="AB61" s="8">
        <v>1</v>
      </c>
    </row>
    <row r="62" spans="1:28" x14ac:dyDescent="0.25">
      <c r="A62" t="s">
        <v>18</v>
      </c>
      <c r="B62" t="s">
        <v>19</v>
      </c>
      <c r="C62" s="95">
        <v>8</v>
      </c>
      <c r="D62" s="120" t="s">
        <v>227</v>
      </c>
      <c r="E62" s="162" t="s">
        <v>227</v>
      </c>
      <c r="F62" s="5">
        <v>12</v>
      </c>
      <c r="G62" s="5">
        <v>5</v>
      </c>
      <c r="H62" s="5">
        <v>3</v>
      </c>
      <c r="I62" s="96">
        <v>20</v>
      </c>
      <c r="J62" t="str">
        <f t="shared" si="0"/>
        <v>RAL</v>
      </c>
      <c r="K62" s="8" t="e">
        <v>#N/A</v>
      </c>
      <c r="L62" s="182" t="s">
        <v>472</v>
      </c>
      <c r="M62" s="8" t="e">
        <v>#VALUE!</v>
      </c>
      <c r="N62" s="8" t="e">
        <v>#VALUE!</v>
      </c>
      <c r="O62" s="8" t="e">
        <f t="shared" si="1"/>
        <v>#VALUE!</v>
      </c>
      <c r="P62" s="8" t="e">
        <f t="shared" si="2"/>
        <v>#VALUE!</v>
      </c>
      <c r="Q62" s="183" t="e">
        <v>#VALUE!</v>
      </c>
      <c r="R62" s="8">
        <v>9</v>
      </c>
      <c r="S62" s="8">
        <v>76</v>
      </c>
      <c r="T62" s="8" t="e">
        <f t="shared" si="3"/>
        <v>#VALUE!</v>
      </c>
      <c r="U62" s="8" t="e">
        <f t="shared" si="4"/>
        <v>#VALUE!</v>
      </c>
      <c r="V62" s="8" t="e">
        <f>IF('LL Revascularisation Summary'!$P$3=2, Q62, IF('LL Revascularisation Summary'!$P$3=1,L62))</f>
        <v>#VALUE!</v>
      </c>
      <c r="W62" s="183" t="e">
        <f>IF('LL Revascularisation Summary'!$P$3=2, U62, IF('LL Revascularisation Summary'!$P$3=1,P62))</f>
        <v>#VALUE!</v>
      </c>
      <c r="X62" s="183" t="e">
        <f>IF('LL Revascularisation Summary'!$P$3=2, T62, IF('LL Revascularisation Summary'!$P$3=1,O62))</f>
        <v>#VALUE!</v>
      </c>
      <c r="Y62" s="184">
        <f t="shared" si="5"/>
        <v>0.6</v>
      </c>
      <c r="Z62" s="184">
        <f t="shared" si="6"/>
        <v>0.25</v>
      </c>
      <c r="AA62" s="184">
        <f t="shared" si="7"/>
        <v>0.15</v>
      </c>
      <c r="AB62" s="8">
        <v>1</v>
      </c>
    </row>
    <row r="63" spans="1:28" x14ac:dyDescent="0.25">
      <c r="A63" t="s">
        <v>889</v>
      </c>
      <c r="B63" t="s">
        <v>890</v>
      </c>
      <c r="C63" s="95" t="s">
        <v>227</v>
      </c>
      <c r="D63" s="120" t="s">
        <v>227</v>
      </c>
      <c r="E63" s="163" t="s">
        <v>227</v>
      </c>
      <c r="F63" s="5">
        <v>1</v>
      </c>
      <c r="G63" s="5">
        <v>0</v>
      </c>
      <c r="H63" s="5">
        <v>0</v>
      </c>
      <c r="I63" s="96">
        <v>1</v>
      </c>
      <c r="J63" t="str">
        <f t="shared" si="0"/>
        <v>RGM</v>
      </c>
      <c r="K63" s="8" t="e">
        <v>#N/A</v>
      </c>
      <c r="L63" s="182" t="s">
        <v>227</v>
      </c>
      <c r="M63" s="8" t="e">
        <v>#VALUE!</v>
      </c>
      <c r="N63" s="8" t="e">
        <v>#VALUE!</v>
      </c>
      <c r="O63" s="8" t="e">
        <f t="shared" si="1"/>
        <v>#VALUE!</v>
      </c>
      <c r="P63" s="8" t="e">
        <f t="shared" si="2"/>
        <v>#VALUE!</v>
      </c>
      <c r="Q63" s="183" t="e">
        <v>#VALUE!</v>
      </c>
      <c r="R63" s="8" t="e">
        <v>#VALUE!</v>
      </c>
      <c r="S63" s="8" t="e">
        <v>#VALUE!</v>
      </c>
      <c r="T63" s="8" t="e">
        <f t="shared" si="3"/>
        <v>#VALUE!</v>
      </c>
      <c r="U63" s="8" t="e">
        <f t="shared" si="4"/>
        <v>#VALUE!</v>
      </c>
      <c r="V63" s="8" t="e">
        <f>IF('LL Revascularisation Summary'!$P$3=2, Q63, IF('LL Revascularisation Summary'!$P$3=1,L63))</f>
        <v>#VALUE!</v>
      </c>
      <c r="W63" s="183" t="e">
        <f>IF('LL Revascularisation Summary'!$P$3=2, U63, IF('LL Revascularisation Summary'!$P$3=1,P63))</f>
        <v>#VALUE!</v>
      </c>
      <c r="X63" s="183" t="e">
        <f>IF('LL Revascularisation Summary'!$P$3=2, T63, IF('LL Revascularisation Summary'!$P$3=1,O63))</f>
        <v>#VALUE!</v>
      </c>
      <c r="Y63" s="184">
        <f t="shared" si="5"/>
        <v>1</v>
      </c>
      <c r="Z63" s="184">
        <f t="shared" si="6"/>
        <v>0</v>
      </c>
      <c r="AA63" s="184">
        <f t="shared" si="7"/>
        <v>0</v>
      </c>
      <c r="AB63" s="8">
        <v>0</v>
      </c>
    </row>
    <row r="64" spans="1:28" x14ac:dyDescent="0.25">
      <c r="A64" t="s">
        <v>58</v>
      </c>
      <c r="B64" t="s">
        <v>59</v>
      </c>
      <c r="C64" s="95">
        <v>1</v>
      </c>
      <c r="D64" s="120" t="s">
        <v>227</v>
      </c>
      <c r="E64" s="165" t="s">
        <v>227</v>
      </c>
      <c r="F64" s="5">
        <v>0</v>
      </c>
      <c r="G64" s="5">
        <v>0</v>
      </c>
      <c r="H64" s="5">
        <v>23</v>
      </c>
      <c r="I64" s="96">
        <v>23</v>
      </c>
      <c r="J64" t="str">
        <f t="shared" si="0"/>
        <v>RL4</v>
      </c>
      <c r="K64" s="8" t="e">
        <v>#N/A</v>
      </c>
      <c r="L64" s="182" t="s">
        <v>227</v>
      </c>
      <c r="M64" s="8" t="e">
        <v>#VALUE!</v>
      </c>
      <c r="N64" s="8" t="e">
        <v>#VALUE!</v>
      </c>
      <c r="O64" s="8" t="e">
        <f t="shared" si="1"/>
        <v>#VALUE!</v>
      </c>
      <c r="P64" s="8" t="e">
        <f t="shared" si="2"/>
        <v>#VALUE!</v>
      </c>
      <c r="Q64" s="183" t="e">
        <v>#VALUE!</v>
      </c>
      <c r="R64" s="8">
        <v>0</v>
      </c>
      <c r="S64" s="8">
        <v>98</v>
      </c>
      <c r="T64" s="8" t="e">
        <f t="shared" si="3"/>
        <v>#VALUE!</v>
      </c>
      <c r="U64" s="8" t="e">
        <f t="shared" si="4"/>
        <v>#VALUE!</v>
      </c>
      <c r="V64" s="8" t="e">
        <f>IF('LL Revascularisation Summary'!$P$3=2, Q64, IF('LL Revascularisation Summary'!$P$3=1,L64))</f>
        <v>#VALUE!</v>
      </c>
      <c r="W64" s="183" t="e">
        <f>IF('LL Revascularisation Summary'!$P$3=2, U64, IF('LL Revascularisation Summary'!$P$3=1,P64))</f>
        <v>#VALUE!</v>
      </c>
      <c r="X64" s="183" t="e">
        <f>IF('LL Revascularisation Summary'!$P$3=2, T64, IF('LL Revascularisation Summary'!$P$3=1,O64))</f>
        <v>#VALUE!</v>
      </c>
      <c r="Y64" s="184">
        <f t="shared" si="5"/>
        <v>0</v>
      </c>
      <c r="Z64" s="184">
        <f t="shared" si="6"/>
        <v>0</v>
      </c>
      <c r="AA64" s="184">
        <f t="shared" si="7"/>
        <v>1</v>
      </c>
      <c r="AB64" s="8">
        <v>0</v>
      </c>
    </row>
    <row r="65" spans="1:28" x14ac:dyDescent="0.25">
      <c r="A65" t="s">
        <v>41</v>
      </c>
      <c r="B65" t="s">
        <v>42</v>
      </c>
      <c r="C65" s="95">
        <v>42</v>
      </c>
      <c r="D65" s="120" t="s">
        <v>962</v>
      </c>
      <c r="E65" s="162">
        <v>0.62000000476837158</v>
      </c>
      <c r="F65" s="5">
        <v>57</v>
      </c>
      <c r="G65" s="5">
        <v>44</v>
      </c>
      <c r="H65" s="5">
        <v>46</v>
      </c>
      <c r="I65" s="96">
        <v>147</v>
      </c>
      <c r="J65" t="str">
        <f t="shared" si="0"/>
        <v>RHQ</v>
      </c>
      <c r="K65" s="8">
        <v>14</v>
      </c>
      <c r="L65" s="182">
        <v>5</v>
      </c>
      <c r="M65" s="8">
        <v>3</v>
      </c>
      <c r="N65" s="8">
        <v>8</v>
      </c>
      <c r="O65" s="8">
        <f t="shared" si="1"/>
        <v>2</v>
      </c>
      <c r="P65" s="8">
        <f t="shared" si="2"/>
        <v>3</v>
      </c>
      <c r="Q65" s="183">
        <v>62</v>
      </c>
      <c r="R65" s="8">
        <v>46</v>
      </c>
      <c r="S65" s="8">
        <v>76</v>
      </c>
      <c r="T65" s="8">
        <f t="shared" si="3"/>
        <v>16</v>
      </c>
      <c r="U65" s="8">
        <f t="shared" si="4"/>
        <v>14</v>
      </c>
      <c r="V65" s="8">
        <f>IF('LL Revascularisation Summary'!$P$3=2, Q65, IF('LL Revascularisation Summary'!$P$3=1,L65))</f>
        <v>62</v>
      </c>
      <c r="W65" s="183">
        <f>IF('LL Revascularisation Summary'!$P$3=2, U65, IF('LL Revascularisation Summary'!$P$3=1,P65))</f>
        <v>14</v>
      </c>
      <c r="X65" s="183">
        <f>IF('LL Revascularisation Summary'!$P$3=2, T65, IF('LL Revascularisation Summary'!$P$3=1,O65))</f>
        <v>16</v>
      </c>
      <c r="Y65" s="184">
        <f t="shared" si="5"/>
        <v>0.38775510204081631</v>
      </c>
      <c r="Z65" s="184">
        <f t="shared" si="6"/>
        <v>0.29931972789115646</v>
      </c>
      <c r="AA65" s="184">
        <f t="shared" si="7"/>
        <v>0.31292517006802723</v>
      </c>
      <c r="AB65" s="8">
        <v>1</v>
      </c>
    </row>
    <row r="66" spans="1:28" x14ac:dyDescent="0.25">
      <c r="A66" t="s">
        <v>117</v>
      </c>
      <c r="B66" t="s">
        <v>118</v>
      </c>
      <c r="C66" s="95">
        <v>47</v>
      </c>
      <c r="D66" s="120" t="s">
        <v>174</v>
      </c>
      <c r="E66" s="165">
        <v>0.6600000262260437</v>
      </c>
      <c r="F66" s="5">
        <v>73</v>
      </c>
      <c r="G66" s="5">
        <v>13</v>
      </c>
      <c r="H66" s="5">
        <v>160</v>
      </c>
      <c r="I66" s="96">
        <v>246</v>
      </c>
      <c r="J66" t="str">
        <f t="shared" si="0"/>
        <v>RXW</v>
      </c>
      <c r="K66" s="8">
        <v>7</v>
      </c>
      <c r="L66" s="182">
        <v>4</v>
      </c>
      <c r="M66" s="8">
        <v>2</v>
      </c>
      <c r="N66" s="8">
        <v>7</v>
      </c>
      <c r="O66" s="8">
        <f t="shared" si="1"/>
        <v>2</v>
      </c>
      <c r="P66" s="8">
        <f t="shared" si="2"/>
        <v>3</v>
      </c>
      <c r="Q66" s="183">
        <v>66</v>
      </c>
      <c r="R66" s="8">
        <v>51</v>
      </c>
      <c r="S66" s="8">
        <v>79</v>
      </c>
      <c r="T66" s="8">
        <f t="shared" si="3"/>
        <v>15</v>
      </c>
      <c r="U66" s="8">
        <f t="shared" si="4"/>
        <v>13</v>
      </c>
      <c r="V66" s="8">
        <f>IF('LL Revascularisation Summary'!$P$3=2, Q66, IF('LL Revascularisation Summary'!$P$3=1,L66))</f>
        <v>66</v>
      </c>
      <c r="W66" s="183">
        <f>IF('LL Revascularisation Summary'!$P$3=2, U66, IF('LL Revascularisation Summary'!$P$3=1,P66))</f>
        <v>13</v>
      </c>
      <c r="X66" s="183">
        <f>IF('LL Revascularisation Summary'!$P$3=2, T66, IF('LL Revascularisation Summary'!$P$3=1,O66))</f>
        <v>15</v>
      </c>
      <c r="Y66" s="184">
        <f t="shared" si="5"/>
        <v>0.2967479674796748</v>
      </c>
      <c r="Z66" s="184">
        <f t="shared" si="6"/>
        <v>5.2845528455284556E-2</v>
      </c>
      <c r="AA66" s="184">
        <f t="shared" si="7"/>
        <v>0.65040650406504064</v>
      </c>
      <c r="AB66" s="8">
        <v>1</v>
      </c>
    </row>
    <row r="67" spans="1:28" x14ac:dyDescent="0.25">
      <c r="A67" t="s">
        <v>348</v>
      </c>
      <c r="B67" t="s">
        <v>349</v>
      </c>
      <c r="C67" s="95">
        <v>57</v>
      </c>
      <c r="D67" s="120" t="s">
        <v>192</v>
      </c>
      <c r="E67" s="162">
        <v>0.76999998092651367</v>
      </c>
      <c r="F67" s="5">
        <v>129</v>
      </c>
      <c r="G67" s="5">
        <v>11</v>
      </c>
      <c r="H67" s="5">
        <v>245</v>
      </c>
      <c r="I67" s="96">
        <v>385</v>
      </c>
      <c r="J67" t="str">
        <f t="shared" ref="J67:J92" si="8">A67</f>
        <v>RH5</v>
      </c>
      <c r="K67" s="8">
        <v>2</v>
      </c>
      <c r="L67" s="182">
        <v>3</v>
      </c>
      <c r="M67" s="8">
        <v>1</v>
      </c>
      <c r="N67" s="8">
        <v>5</v>
      </c>
      <c r="O67" s="8">
        <f t="shared" ref="O67:O92" si="9">L67-M67</f>
        <v>2</v>
      </c>
      <c r="P67" s="8">
        <f t="shared" ref="P67:P92" si="10">N67-L67</f>
        <v>2</v>
      </c>
      <c r="Q67" s="183">
        <v>77</v>
      </c>
      <c r="R67" s="8">
        <v>64</v>
      </c>
      <c r="S67" s="8">
        <v>87</v>
      </c>
      <c r="T67" s="8">
        <f t="shared" ref="T67:T92" si="11">Q67-R67</f>
        <v>13</v>
      </c>
      <c r="U67" s="8">
        <f t="shared" ref="U67:U92" si="12">S67-Q67</f>
        <v>10</v>
      </c>
      <c r="V67" s="8">
        <f>IF('LL Revascularisation Summary'!$P$3=2, Q67, IF('LL Revascularisation Summary'!$P$3=1,L67))</f>
        <v>77</v>
      </c>
      <c r="W67" s="183">
        <f>IF('LL Revascularisation Summary'!$P$3=2, U67, IF('LL Revascularisation Summary'!$P$3=1,P67))</f>
        <v>10</v>
      </c>
      <c r="X67" s="183">
        <f>IF('LL Revascularisation Summary'!$P$3=2, T67, IF('LL Revascularisation Summary'!$P$3=1,O67))</f>
        <v>13</v>
      </c>
      <c r="Y67" s="184">
        <f t="shared" ref="Y67:Y92" si="13">F67/I67</f>
        <v>0.33506493506493507</v>
      </c>
      <c r="Z67" s="184">
        <f t="shared" ref="Z67:Z92" si="14">G67/I67</f>
        <v>2.8571428571428571E-2</v>
      </c>
      <c r="AA67" s="184">
        <f t="shared" ref="AA67:AA92" si="15">H67/I67</f>
        <v>0.63636363636363635</v>
      </c>
      <c r="AB67" s="8">
        <v>1</v>
      </c>
    </row>
    <row r="68" spans="1:28" x14ac:dyDescent="0.25">
      <c r="A68" t="s">
        <v>90</v>
      </c>
      <c r="B68" t="s">
        <v>91</v>
      </c>
      <c r="C68" s="95">
        <v>20</v>
      </c>
      <c r="D68" s="120" t="s">
        <v>981</v>
      </c>
      <c r="E68" s="163">
        <v>0.64999997615814209</v>
      </c>
      <c r="F68" s="5">
        <v>56</v>
      </c>
      <c r="G68" s="5">
        <v>5</v>
      </c>
      <c r="H68" s="5">
        <v>10</v>
      </c>
      <c r="I68" s="96">
        <v>71</v>
      </c>
      <c r="J68" t="str">
        <f t="shared" si="8"/>
        <v>RTR</v>
      </c>
      <c r="K68" s="8">
        <v>10</v>
      </c>
      <c r="L68" s="182">
        <v>2</v>
      </c>
      <c r="M68" s="8">
        <v>0</v>
      </c>
      <c r="N68" s="8">
        <v>6</v>
      </c>
      <c r="O68" s="8">
        <f t="shared" si="9"/>
        <v>2</v>
      </c>
      <c r="P68" s="8">
        <f t="shared" si="10"/>
        <v>4</v>
      </c>
      <c r="Q68" s="183">
        <v>65</v>
      </c>
      <c r="R68" s="8">
        <v>41</v>
      </c>
      <c r="S68" s="8">
        <v>85</v>
      </c>
      <c r="T68" s="8">
        <f t="shared" si="11"/>
        <v>24</v>
      </c>
      <c r="U68" s="8">
        <f t="shared" si="12"/>
        <v>20</v>
      </c>
      <c r="V68" s="8">
        <f>IF('LL Revascularisation Summary'!$P$3=2, Q68, IF('LL Revascularisation Summary'!$P$3=1,L68))</f>
        <v>65</v>
      </c>
      <c r="W68" s="183">
        <f>IF('LL Revascularisation Summary'!$P$3=2, U68, IF('LL Revascularisation Summary'!$P$3=1,P68))</f>
        <v>20</v>
      </c>
      <c r="X68" s="183">
        <f>IF('LL Revascularisation Summary'!$P$3=2, T68, IF('LL Revascularisation Summary'!$P$3=1,O68))</f>
        <v>24</v>
      </c>
      <c r="Y68" s="184">
        <f t="shared" si="13"/>
        <v>0.78873239436619713</v>
      </c>
      <c r="Z68" s="184">
        <f t="shared" si="14"/>
        <v>7.0422535211267609E-2</v>
      </c>
      <c r="AA68" s="184">
        <f t="shared" si="15"/>
        <v>0.14084507042253522</v>
      </c>
      <c r="AB68" s="8">
        <v>1</v>
      </c>
    </row>
    <row r="69" spans="1:28" x14ac:dyDescent="0.25">
      <c r="A69" t="s">
        <v>333</v>
      </c>
      <c r="B69" t="s">
        <v>334</v>
      </c>
      <c r="C69" s="95">
        <v>40</v>
      </c>
      <c r="D69" s="120" t="s">
        <v>982</v>
      </c>
      <c r="E69" s="162">
        <v>0.40000000596046448</v>
      </c>
      <c r="F69" s="5">
        <v>26</v>
      </c>
      <c r="G69" s="5">
        <v>38</v>
      </c>
      <c r="H69" s="5">
        <v>141</v>
      </c>
      <c r="I69" s="96">
        <v>205</v>
      </c>
      <c r="J69" t="str">
        <f t="shared" si="8"/>
        <v>R0B</v>
      </c>
      <c r="K69" s="8">
        <v>49</v>
      </c>
      <c r="L69" s="182">
        <v>7</v>
      </c>
      <c r="M69" s="8">
        <v>3</v>
      </c>
      <c r="N69" s="8">
        <v>10</v>
      </c>
      <c r="O69" s="8">
        <f t="shared" si="9"/>
        <v>4</v>
      </c>
      <c r="P69" s="8">
        <f t="shared" si="10"/>
        <v>3</v>
      </c>
      <c r="Q69" s="183">
        <v>40</v>
      </c>
      <c r="R69" s="8">
        <v>25</v>
      </c>
      <c r="S69" s="8">
        <v>56.999999999999993</v>
      </c>
      <c r="T69" s="8">
        <f t="shared" si="11"/>
        <v>15</v>
      </c>
      <c r="U69" s="8">
        <f t="shared" si="12"/>
        <v>16.999999999999993</v>
      </c>
      <c r="V69" s="8">
        <f>IF('LL Revascularisation Summary'!$P$3=2, Q69, IF('LL Revascularisation Summary'!$P$3=1,L69))</f>
        <v>40</v>
      </c>
      <c r="W69" s="183">
        <f>IF('LL Revascularisation Summary'!$P$3=2, U69, IF('LL Revascularisation Summary'!$P$3=1,P69))</f>
        <v>16.999999999999993</v>
      </c>
      <c r="X69" s="183">
        <f>IF('LL Revascularisation Summary'!$P$3=2, T69, IF('LL Revascularisation Summary'!$P$3=1,O69))</f>
        <v>15</v>
      </c>
      <c r="Y69" s="184">
        <f t="shared" si="13"/>
        <v>0.12682926829268293</v>
      </c>
      <c r="Z69" s="184">
        <f t="shared" si="14"/>
        <v>0.18536585365853658</v>
      </c>
      <c r="AA69" s="184">
        <f t="shared" si="15"/>
        <v>0.68780487804878043</v>
      </c>
      <c r="AB69" s="8">
        <v>1</v>
      </c>
    </row>
    <row r="70" spans="1:28" x14ac:dyDescent="0.25">
      <c r="A70" t="s">
        <v>299</v>
      </c>
      <c r="B70" t="s">
        <v>300</v>
      </c>
      <c r="C70" s="95">
        <v>0</v>
      </c>
      <c r="D70" s="120" t="s">
        <v>220</v>
      </c>
      <c r="E70" s="161" t="s">
        <v>220</v>
      </c>
      <c r="F70" s="5">
        <v>0</v>
      </c>
      <c r="G70" s="5">
        <v>0</v>
      </c>
      <c r="H70" s="5">
        <v>15</v>
      </c>
      <c r="I70" s="96">
        <v>15</v>
      </c>
      <c r="J70" t="str">
        <f t="shared" si="8"/>
        <v>RVY</v>
      </c>
      <c r="K70" s="8" t="e">
        <v>#N/A</v>
      </c>
      <c r="L70" s="182" t="s">
        <v>472</v>
      </c>
      <c r="M70" s="8" t="e">
        <v>#VALUE!</v>
      </c>
      <c r="N70" s="8" t="e">
        <v>#VALUE!</v>
      </c>
      <c r="O70" s="8" t="e">
        <f t="shared" si="9"/>
        <v>#VALUE!</v>
      </c>
      <c r="P70" s="8" t="e">
        <f t="shared" si="10"/>
        <v>#VALUE!</v>
      </c>
      <c r="Q70" s="183" t="e">
        <v>#VALUE!</v>
      </c>
      <c r="R70" s="8" t="e">
        <v>#VALUE!</v>
      </c>
      <c r="S70" s="8" t="e">
        <v>#VALUE!</v>
      </c>
      <c r="T70" s="8" t="e">
        <f t="shared" si="11"/>
        <v>#VALUE!</v>
      </c>
      <c r="U70" s="8" t="e">
        <f t="shared" si="12"/>
        <v>#VALUE!</v>
      </c>
      <c r="V70" s="8" t="e">
        <f>IF('LL Revascularisation Summary'!$P$3=2, Q70, IF('LL Revascularisation Summary'!$P$3=1,L70))</f>
        <v>#VALUE!</v>
      </c>
      <c r="W70" s="183" t="e">
        <f>IF('LL Revascularisation Summary'!$P$3=2, U70, IF('LL Revascularisation Summary'!$P$3=1,P70))</f>
        <v>#VALUE!</v>
      </c>
      <c r="X70" s="183" t="e">
        <f>IF('LL Revascularisation Summary'!$P$3=2, T70, IF('LL Revascularisation Summary'!$P$3=1,O70))</f>
        <v>#VALUE!</v>
      </c>
      <c r="Y70" s="184">
        <f t="shared" si="13"/>
        <v>0</v>
      </c>
      <c r="Z70" s="184">
        <f t="shared" si="14"/>
        <v>0</v>
      </c>
      <c r="AA70" s="184">
        <f t="shared" si="15"/>
        <v>1</v>
      </c>
      <c r="AB70" s="8">
        <v>0</v>
      </c>
    </row>
    <row r="71" spans="1:28" x14ac:dyDescent="0.25">
      <c r="A71" t="s">
        <v>47</v>
      </c>
      <c r="B71" t="s">
        <v>48</v>
      </c>
      <c r="C71" s="95">
        <v>54</v>
      </c>
      <c r="D71" s="120" t="s">
        <v>962</v>
      </c>
      <c r="E71" s="162">
        <v>0.51999998092651367</v>
      </c>
      <c r="F71" s="5">
        <v>21</v>
      </c>
      <c r="G71" s="5">
        <v>63</v>
      </c>
      <c r="H71" s="5">
        <v>137</v>
      </c>
      <c r="I71" s="96">
        <v>221</v>
      </c>
      <c r="J71" t="str">
        <f t="shared" si="8"/>
        <v>RJ7</v>
      </c>
      <c r="K71" s="8">
        <v>36</v>
      </c>
      <c r="L71" s="182">
        <v>5</v>
      </c>
      <c r="M71" s="8">
        <v>3</v>
      </c>
      <c r="N71" s="8">
        <v>8</v>
      </c>
      <c r="O71" s="8">
        <f t="shared" si="9"/>
        <v>2</v>
      </c>
      <c r="P71" s="8">
        <f t="shared" si="10"/>
        <v>3</v>
      </c>
      <c r="Q71" s="183">
        <v>52</v>
      </c>
      <c r="R71" s="8">
        <v>38</v>
      </c>
      <c r="S71" s="8">
        <v>66</v>
      </c>
      <c r="T71" s="8">
        <f t="shared" si="11"/>
        <v>14</v>
      </c>
      <c r="U71" s="8">
        <f t="shared" si="12"/>
        <v>14</v>
      </c>
      <c r="V71" s="8">
        <f>IF('LL Revascularisation Summary'!$P$3=2, Q71, IF('LL Revascularisation Summary'!$P$3=1,L71))</f>
        <v>52</v>
      </c>
      <c r="W71" s="183">
        <f>IF('LL Revascularisation Summary'!$P$3=2, U71, IF('LL Revascularisation Summary'!$P$3=1,P71))</f>
        <v>14</v>
      </c>
      <c r="X71" s="183">
        <f>IF('LL Revascularisation Summary'!$P$3=2, T71, IF('LL Revascularisation Summary'!$P$3=1,O71))</f>
        <v>14</v>
      </c>
      <c r="Y71" s="184">
        <f t="shared" si="13"/>
        <v>9.5022624434389136E-2</v>
      </c>
      <c r="Z71" s="184">
        <f t="shared" si="14"/>
        <v>0.28506787330316741</v>
      </c>
      <c r="AA71" s="184">
        <f t="shared" si="15"/>
        <v>0.61990950226244346</v>
      </c>
      <c r="AB71" s="8">
        <v>1</v>
      </c>
    </row>
    <row r="72" spans="1:28" x14ac:dyDescent="0.25">
      <c r="A72" t="s">
        <v>20</v>
      </c>
      <c r="B72" t="s">
        <v>21</v>
      </c>
      <c r="C72" s="95">
        <v>6</v>
      </c>
      <c r="D72" s="120" t="s">
        <v>227</v>
      </c>
      <c r="E72" s="165" t="s">
        <v>227</v>
      </c>
      <c r="F72" s="5">
        <v>0</v>
      </c>
      <c r="G72" s="5">
        <v>0</v>
      </c>
      <c r="H72" s="5">
        <v>51</v>
      </c>
      <c r="I72" s="96">
        <v>51</v>
      </c>
      <c r="J72" t="str">
        <f t="shared" si="8"/>
        <v>RBN</v>
      </c>
      <c r="K72" s="8" t="e">
        <v>#N/A</v>
      </c>
      <c r="L72" s="182" t="s">
        <v>472</v>
      </c>
      <c r="M72" s="8" t="e">
        <v>#VALUE!</v>
      </c>
      <c r="N72" s="8" t="e">
        <v>#VALUE!</v>
      </c>
      <c r="O72" s="8" t="e">
        <f t="shared" si="9"/>
        <v>#VALUE!</v>
      </c>
      <c r="P72" s="8" t="e">
        <f t="shared" si="10"/>
        <v>#VALUE!</v>
      </c>
      <c r="Q72" s="183" t="e">
        <v>#VALUE!</v>
      </c>
      <c r="R72" s="8">
        <v>0</v>
      </c>
      <c r="S72" s="8">
        <v>46</v>
      </c>
      <c r="T72" s="8" t="e">
        <f t="shared" si="11"/>
        <v>#VALUE!</v>
      </c>
      <c r="U72" s="8" t="e">
        <f t="shared" si="12"/>
        <v>#VALUE!</v>
      </c>
      <c r="V72" s="8" t="e">
        <f>IF('LL Revascularisation Summary'!$P$3=2, Q72, IF('LL Revascularisation Summary'!$P$3=1,L72))</f>
        <v>#VALUE!</v>
      </c>
      <c r="W72" s="183" t="e">
        <f>IF('LL Revascularisation Summary'!$P$3=2, U72, IF('LL Revascularisation Summary'!$P$3=1,P72))</f>
        <v>#VALUE!</v>
      </c>
      <c r="X72" s="183" t="e">
        <f>IF('LL Revascularisation Summary'!$P$3=2, T72, IF('LL Revascularisation Summary'!$P$3=1,O72))</f>
        <v>#VALUE!</v>
      </c>
      <c r="Y72" s="184">
        <f t="shared" si="13"/>
        <v>0</v>
      </c>
      <c r="Z72" s="184">
        <f t="shared" si="14"/>
        <v>0</v>
      </c>
      <c r="AA72" s="184">
        <f t="shared" si="15"/>
        <v>1</v>
      </c>
      <c r="AB72" s="8">
        <v>0</v>
      </c>
    </row>
    <row r="73" spans="1:28" x14ac:dyDescent="0.25">
      <c r="A73" t="s">
        <v>301</v>
      </c>
      <c r="B73" t="s">
        <v>302</v>
      </c>
      <c r="C73" s="95">
        <v>14</v>
      </c>
      <c r="D73" s="120" t="s">
        <v>983</v>
      </c>
      <c r="E73" s="165">
        <v>0.28999999165534973</v>
      </c>
      <c r="F73" s="5">
        <v>0</v>
      </c>
      <c r="G73" s="5">
        <v>0</v>
      </c>
      <c r="H73" s="5">
        <v>56</v>
      </c>
      <c r="I73" s="96">
        <v>56</v>
      </c>
      <c r="J73" t="str">
        <f t="shared" si="8"/>
        <v>RTP</v>
      </c>
      <c r="K73" s="8" t="e">
        <v>#N/A</v>
      </c>
      <c r="L73" s="182">
        <v>9</v>
      </c>
      <c r="M73" s="8">
        <v>1</v>
      </c>
      <c r="N73" s="8">
        <v>13</v>
      </c>
      <c r="O73" s="8">
        <f t="shared" si="9"/>
        <v>8</v>
      </c>
      <c r="P73" s="8">
        <f t="shared" si="10"/>
        <v>4</v>
      </c>
      <c r="Q73" s="183">
        <v>29</v>
      </c>
      <c r="R73" s="8">
        <v>8</v>
      </c>
      <c r="S73" s="8">
        <v>57.999999999999993</v>
      </c>
      <c r="T73" s="8">
        <f t="shared" si="11"/>
        <v>21</v>
      </c>
      <c r="U73" s="8">
        <f t="shared" si="12"/>
        <v>28.999999999999993</v>
      </c>
      <c r="V73" s="8">
        <f>IF('LL Revascularisation Summary'!$P$3=2, Q73, IF('LL Revascularisation Summary'!$P$3=1,L73))</f>
        <v>29</v>
      </c>
      <c r="W73" s="183">
        <f>IF('LL Revascularisation Summary'!$P$3=2, U73, IF('LL Revascularisation Summary'!$P$3=1,P73))</f>
        <v>28.999999999999993</v>
      </c>
      <c r="X73" s="183">
        <f>IF('LL Revascularisation Summary'!$P$3=2, T73, IF('LL Revascularisation Summary'!$P$3=1,O73))</f>
        <v>21</v>
      </c>
      <c r="Y73" s="184">
        <f t="shared" si="13"/>
        <v>0</v>
      </c>
      <c r="Z73" s="184">
        <f t="shared" si="14"/>
        <v>0</v>
      </c>
      <c r="AA73" s="184">
        <f t="shared" si="15"/>
        <v>1</v>
      </c>
      <c r="AB73" s="8">
        <v>0</v>
      </c>
    </row>
    <row r="74" spans="1:28" x14ac:dyDescent="0.25">
      <c r="A74" t="s">
        <v>2</v>
      </c>
      <c r="B74" t="s">
        <v>158</v>
      </c>
      <c r="C74" s="95">
        <v>218</v>
      </c>
      <c r="D74" s="120" t="s">
        <v>217</v>
      </c>
      <c r="E74" s="162">
        <v>0.43999999761581421</v>
      </c>
      <c r="F74" s="5">
        <v>133</v>
      </c>
      <c r="G74" s="5">
        <v>17</v>
      </c>
      <c r="H74" s="5">
        <v>161</v>
      </c>
      <c r="I74" s="96">
        <v>311</v>
      </c>
      <c r="J74" t="str">
        <f t="shared" si="8"/>
        <v>7A3</v>
      </c>
      <c r="K74" s="8">
        <v>45</v>
      </c>
      <c r="L74" s="182">
        <v>6</v>
      </c>
      <c r="M74" s="8">
        <v>3</v>
      </c>
      <c r="N74" s="8">
        <v>9</v>
      </c>
      <c r="O74" s="8">
        <f t="shared" si="9"/>
        <v>3</v>
      </c>
      <c r="P74" s="8">
        <f t="shared" si="10"/>
        <v>3</v>
      </c>
      <c r="Q74" s="183">
        <v>44</v>
      </c>
      <c r="R74" s="8">
        <v>38</v>
      </c>
      <c r="S74" s="8">
        <v>51</v>
      </c>
      <c r="T74" s="8">
        <f t="shared" si="11"/>
        <v>6</v>
      </c>
      <c r="U74" s="8">
        <f t="shared" si="12"/>
        <v>7</v>
      </c>
      <c r="V74" s="8">
        <f>IF('LL Revascularisation Summary'!$P$3=2, Q74, IF('LL Revascularisation Summary'!$P$3=1,L74))</f>
        <v>44</v>
      </c>
      <c r="W74" s="183">
        <f>IF('LL Revascularisation Summary'!$P$3=2, U74, IF('LL Revascularisation Summary'!$P$3=1,P74))</f>
        <v>7</v>
      </c>
      <c r="X74" s="183">
        <f>IF('LL Revascularisation Summary'!$P$3=2, T74, IF('LL Revascularisation Summary'!$P$3=1,O74))</f>
        <v>6</v>
      </c>
      <c r="Y74" s="184">
        <f t="shared" si="13"/>
        <v>0.42765273311897106</v>
      </c>
      <c r="Z74" s="184">
        <f t="shared" si="14"/>
        <v>5.4662379421221867E-2</v>
      </c>
      <c r="AA74" s="184">
        <f t="shared" si="15"/>
        <v>0.51768488745980712</v>
      </c>
      <c r="AB74" s="8">
        <v>1</v>
      </c>
    </row>
    <row r="75" spans="1:28" x14ac:dyDescent="0.25">
      <c r="A75" t="s">
        <v>64</v>
      </c>
      <c r="B75" t="s">
        <v>65</v>
      </c>
      <c r="C75" s="95">
        <v>95</v>
      </c>
      <c r="D75" s="120" t="s">
        <v>174</v>
      </c>
      <c r="E75" s="163">
        <v>0.61000001430511475</v>
      </c>
      <c r="F75" s="5">
        <v>99</v>
      </c>
      <c r="G75" s="5">
        <v>32</v>
      </c>
      <c r="H75" s="5">
        <v>135</v>
      </c>
      <c r="I75" s="96">
        <v>266</v>
      </c>
      <c r="J75" t="str">
        <f t="shared" si="8"/>
        <v>RNA</v>
      </c>
      <c r="K75" s="8">
        <v>16</v>
      </c>
      <c r="L75" s="182">
        <v>4</v>
      </c>
      <c r="M75" s="8">
        <v>2</v>
      </c>
      <c r="N75" s="8">
        <v>7</v>
      </c>
      <c r="O75" s="8">
        <f t="shared" si="9"/>
        <v>2</v>
      </c>
      <c r="P75" s="8">
        <f t="shared" si="10"/>
        <v>3</v>
      </c>
      <c r="Q75" s="183">
        <v>61</v>
      </c>
      <c r="R75" s="8">
        <v>51</v>
      </c>
      <c r="S75" s="8">
        <v>71</v>
      </c>
      <c r="T75" s="8">
        <f t="shared" si="11"/>
        <v>10</v>
      </c>
      <c r="U75" s="8">
        <f t="shared" si="12"/>
        <v>10</v>
      </c>
      <c r="V75" s="8">
        <f>IF('LL Revascularisation Summary'!$P$3=2, Q75, IF('LL Revascularisation Summary'!$P$3=1,L75))</f>
        <v>61</v>
      </c>
      <c r="W75" s="183">
        <f>IF('LL Revascularisation Summary'!$P$3=2, U75, IF('LL Revascularisation Summary'!$P$3=1,P75))</f>
        <v>10</v>
      </c>
      <c r="X75" s="183">
        <f>IF('LL Revascularisation Summary'!$P$3=2, T75, IF('LL Revascularisation Summary'!$P$3=1,O75))</f>
        <v>10</v>
      </c>
      <c r="Y75" s="184">
        <f t="shared" si="13"/>
        <v>0.37218045112781956</v>
      </c>
      <c r="Z75" s="184">
        <f t="shared" si="14"/>
        <v>0.12030075187969924</v>
      </c>
      <c r="AA75" s="184">
        <f t="shared" si="15"/>
        <v>0.50751879699248126</v>
      </c>
      <c r="AB75" s="8">
        <v>1</v>
      </c>
    </row>
    <row r="76" spans="1:28" x14ac:dyDescent="0.25">
      <c r="A76" t="s">
        <v>13</v>
      </c>
      <c r="B76" t="s">
        <v>14</v>
      </c>
      <c r="C76" s="95" t="s">
        <v>227</v>
      </c>
      <c r="D76" s="120" t="s">
        <v>227</v>
      </c>
      <c r="E76" s="165" t="s">
        <v>227</v>
      </c>
      <c r="F76" s="5">
        <v>2</v>
      </c>
      <c r="G76" s="5">
        <v>2</v>
      </c>
      <c r="H76" s="5">
        <v>0</v>
      </c>
      <c r="I76" s="96">
        <v>4</v>
      </c>
      <c r="J76" t="str">
        <f t="shared" si="8"/>
        <v>RA9</v>
      </c>
      <c r="K76" s="8" t="e">
        <v>#N/A</v>
      </c>
      <c r="L76" s="182" t="s">
        <v>227</v>
      </c>
      <c r="M76" s="8" t="e">
        <v>#VALUE!</v>
      </c>
      <c r="N76" s="8" t="e">
        <v>#VALUE!</v>
      </c>
      <c r="O76" s="8" t="e">
        <f t="shared" si="9"/>
        <v>#VALUE!</v>
      </c>
      <c r="P76" s="8" t="e">
        <f t="shared" si="10"/>
        <v>#VALUE!</v>
      </c>
      <c r="Q76" s="183" t="e">
        <v>#VALUE!</v>
      </c>
      <c r="R76" s="8" t="e">
        <v>#VALUE!</v>
      </c>
      <c r="S76" s="8" t="e">
        <v>#VALUE!</v>
      </c>
      <c r="T76" s="8" t="e">
        <f t="shared" si="11"/>
        <v>#VALUE!</v>
      </c>
      <c r="U76" s="8" t="e">
        <f t="shared" si="12"/>
        <v>#VALUE!</v>
      </c>
      <c r="V76" s="8" t="e">
        <f>IF('LL Revascularisation Summary'!$P$3=2, Q76, IF('LL Revascularisation Summary'!$P$3=1,L76))</f>
        <v>#VALUE!</v>
      </c>
      <c r="W76" s="183" t="e">
        <f>IF('LL Revascularisation Summary'!$P$3=2, U76, IF('LL Revascularisation Summary'!$P$3=1,P76))</f>
        <v>#VALUE!</v>
      </c>
      <c r="X76" s="183" t="e">
        <f>IF('LL Revascularisation Summary'!$P$3=2, T76, IF('LL Revascularisation Summary'!$P$3=1,O76))</f>
        <v>#VALUE!</v>
      </c>
      <c r="Y76" s="184">
        <f t="shared" si="13"/>
        <v>0.5</v>
      </c>
      <c r="Z76" s="184">
        <f t="shared" si="14"/>
        <v>0.5</v>
      </c>
      <c r="AA76" s="184">
        <f t="shared" si="15"/>
        <v>0</v>
      </c>
      <c r="AB76" s="8">
        <v>1</v>
      </c>
    </row>
    <row r="77" spans="1:28" x14ac:dyDescent="0.25">
      <c r="A77" t="s">
        <v>97</v>
      </c>
      <c r="B77" t="s">
        <v>98</v>
      </c>
      <c r="C77" s="95">
        <v>68</v>
      </c>
      <c r="D77" s="120" t="s">
        <v>984</v>
      </c>
      <c r="E77" s="162">
        <v>0.23999999463558197</v>
      </c>
      <c r="F77" s="5">
        <v>28</v>
      </c>
      <c r="G77" s="5">
        <v>3</v>
      </c>
      <c r="H77" s="5">
        <v>145</v>
      </c>
      <c r="I77" s="96">
        <v>176</v>
      </c>
      <c r="J77" t="str">
        <f t="shared" si="8"/>
        <v>RWD</v>
      </c>
      <c r="K77" s="8">
        <v>57</v>
      </c>
      <c r="L77" s="182">
        <v>9</v>
      </c>
      <c r="M77" s="8">
        <v>6</v>
      </c>
      <c r="N77" s="8">
        <v>14</v>
      </c>
      <c r="O77" s="8">
        <f t="shared" si="9"/>
        <v>3</v>
      </c>
      <c r="P77" s="8">
        <f t="shared" si="10"/>
        <v>5</v>
      </c>
      <c r="Q77" s="183">
        <v>24</v>
      </c>
      <c r="R77" s="8">
        <v>14.000000000000002</v>
      </c>
      <c r="S77" s="8">
        <v>35</v>
      </c>
      <c r="T77" s="8">
        <f t="shared" si="11"/>
        <v>9.9999999999999982</v>
      </c>
      <c r="U77" s="8">
        <f t="shared" si="12"/>
        <v>11</v>
      </c>
      <c r="V77" s="8">
        <f>IF('LL Revascularisation Summary'!$P$3=2, Q77, IF('LL Revascularisation Summary'!$P$3=1,L77))</f>
        <v>24</v>
      </c>
      <c r="W77" s="183">
        <f>IF('LL Revascularisation Summary'!$P$3=2, U77, IF('LL Revascularisation Summary'!$P$3=1,P77))</f>
        <v>11</v>
      </c>
      <c r="X77" s="183">
        <f>IF('LL Revascularisation Summary'!$P$3=2, T77, IF('LL Revascularisation Summary'!$P$3=1,O77))</f>
        <v>9.9999999999999982</v>
      </c>
      <c r="Y77" s="184">
        <f t="shared" si="13"/>
        <v>0.15909090909090909</v>
      </c>
      <c r="Z77" s="184">
        <f t="shared" si="14"/>
        <v>1.7045454545454544E-2</v>
      </c>
      <c r="AA77" s="184">
        <f t="shared" si="15"/>
        <v>0.82386363636363635</v>
      </c>
      <c r="AB77" s="8">
        <v>1</v>
      </c>
    </row>
    <row r="78" spans="1:28" x14ac:dyDescent="0.25">
      <c r="A78" t="s">
        <v>79</v>
      </c>
      <c r="B78" t="s">
        <v>80</v>
      </c>
      <c r="C78" s="95">
        <v>0</v>
      </c>
      <c r="D78" s="120" t="s">
        <v>220</v>
      </c>
      <c r="E78" s="161" t="s">
        <v>220</v>
      </c>
      <c r="F78" s="5" t="s">
        <v>227</v>
      </c>
      <c r="G78" s="5" t="s">
        <v>227</v>
      </c>
      <c r="H78" s="5" t="s">
        <v>227</v>
      </c>
      <c r="I78" s="96" t="s">
        <v>227</v>
      </c>
      <c r="J78" t="str">
        <f t="shared" si="8"/>
        <v>RRV</v>
      </c>
      <c r="K78" s="8" t="e">
        <v>#N/A</v>
      </c>
      <c r="L78" s="182" t="s">
        <v>472</v>
      </c>
      <c r="M78" s="8" t="e">
        <v>#VALUE!</v>
      </c>
      <c r="N78" s="8" t="e">
        <v>#VALUE!</v>
      </c>
      <c r="O78" s="8" t="e">
        <f t="shared" si="9"/>
        <v>#VALUE!</v>
      </c>
      <c r="P78" s="8" t="e">
        <f t="shared" si="10"/>
        <v>#VALUE!</v>
      </c>
      <c r="Q78" s="183" t="e">
        <v>#VALUE!</v>
      </c>
      <c r="R78" s="8" t="e">
        <v>#VALUE!</v>
      </c>
      <c r="S78" s="8" t="e">
        <v>#VALUE!</v>
      </c>
      <c r="T78" s="8" t="e">
        <f t="shared" si="11"/>
        <v>#VALUE!</v>
      </c>
      <c r="U78" s="8" t="e">
        <f t="shared" si="12"/>
        <v>#VALUE!</v>
      </c>
      <c r="V78" s="8" t="e">
        <f>IF('LL Revascularisation Summary'!$P$3=2, Q78, IF('LL Revascularisation Summary'!$P$3=1,L78))</f>
        <v>#VALUE!</v>
      </c>
      <c r="W78" s="183" t="e">
        <f>IF('LL Revascularisation Summary'!$P$3=2, U78, IF('LL Revascularisation Summary'!$P$3=1,P78))</f>
        <v>#VALUE!</v>
      </c>
      <c r="X78" s="183" t="e">
        <f>IF('LL Revascularisation Summary'!$P$3=2, T78, IF('LL Revascularisation Summary'!$P$3=1,O78))</f>
        <v>#VALUE!</v>
      </c>
      <c r="Y78" s="184" t="e">
        <f t="shared" si="13"/>
        <v>#VALUE!</v>
      </c>
      <c r="Z78" s="184" t="e">
        <f t="shared" si="14"/>
        <v>#VALUE!</v>
      </c>
      <c r="AA78" s="184" t="e">
        <f t="shared" si="15"/>
        <v>#VALUE!</v>
      </c>
      <c r="AB78" s="8">
        <v>0</v>
      </c>
    </row>
    <row r="79" spans="1:28" x14ac:dyDescent="0.25">
      <c r="A79" t="s">
        <v>49</v>
      </c>
      <c r="B79" t="s">
        <v>50</v>
      </c>
      <c r="C79" s="95">
        <v>126</v>
      </c>
      <c r="D79" s="120" t="s">
        <v>985</v>
      </c>
      <c r="E79" s="162">
        <v>0.47999998927116394</v>
      </c>
      <c r="F79" s="5">
        <v>131</v>
      </c>
      <c r="G79" s="5">
        <v>35</v>
      </c>
      <c r="H79" s="5">
        <v>217</v>
      </c>
      <c r="I79" s="96">
        <v>383</v>
      </c>
      <c r="J79" t="str">
        <f t="shared" si="8"/>
        <v>RJE</v>
      </c>
      <c r="K79" s="8">
        <v>42</v>
      </c>
      <c r="L79" s="182">
        <v>6</v>
      </c>
      <c r="M79" s="8">
        <v>4</v>
      </c>
      <c r="N79" s="8">
        <v>10</v>
      </c>
      <c r="O79" s="8">
        <f t="shared" si="9"/>
        <v>2</v>
      </c>
      <c r="P79" s="8">
        <f t="shared" si="10"/>
        <v>4</v>
      </c>
      <c r="Q79" s="183">
        <v>48</v>
      </c>
      <c r="R79" s="8">
        <v>39</v>
      </c>
      <c r="S79" s="8">
        <v>56.999999999999993</v>
      </c>
      <c r="T79" s="8">
        <f t="shared" si="11"/>
        <v>9</v>
      </c>
      <c r="U79" s="8">
        <f t="shared" si="12"/>
        <v>8.9999999999999929</v>
      </c>
      <c r="V79" s="8">
        <f>IF('LL Revascularisation Summary'!$P$3=2, Q79, IF('LL Revascularisation Summary'!$P$3=1,L79))</f>
        <v>48</v>
      </c>
      <c r="W79" s="183">
        <f>IF('LL Revascularisation Summary'!$P$3=2, U79, IF('LL Revascularisation Summary'!$P$3=1,P79))</f>
        <v>8.9999999999999929</v>
      </c>
      <c r="X79" s="183">
        <f>IF('LL Revascularisation Summary'!$P$3=2, T79, IF('LL Revascularisation Summary'!$P$3=1,O79))</f>
        <v>9</v>
      </c>
      <c r="Y79" s="184">
        <f t="shared" si="13"/>
        <v>0.34203655352480417</v>
      </c>
      <c r="Z79" s="184">
        <f t="shared" si="14"/>
        <v>9.1383812010443863E-2</v>
      </c>
      <c r="AA79" s="184">
        <f t="shared" si="15"/>
        <v>0.56657963446475201</v>
      </c>
      <c r="AB79" s="8">
        <v>1</v>
      </c>
    </row>
    <row r="80" spans="1:28" x14ac:dyDescent="0.25">
      <c r="A80" t="s">
        <v>39</v>
      </c>
      <c r="B80" t="s">
        <v>40</v>
      </c>
      <c r="C80" s="95">
        <v>70</v>
      </c>
      <c r="D80" s="120" t="s">
        <v>174</v>
      </c>
      <c r="E80" s="162">
        <v>0.61000001430511475</v>
      </c>
      <c r="F80" s="5">
        <v>128</v>
      </c>
      <c r="G80" s="5">
        <v>65</v>
      </c>
      <c r="H80" s="5">
        <v>31</v>
      </c>
      <c r="I80" s="96">
        <v>224</v>
      </c>
      <c r="J80" t="str">
        <f t="shared" si="8"/>
        <v>RHM</v>
      </c>
      <c r="K80" s="8">
        <v>20</v>
      </c>
      <c r="L80" s="182">
        <v>4</v>
      </c>
      <c r="M80" s="8">
        <v>2</v>
      </c>
      <c r="N80" s="8">
        <v>7</v>
      </c>
      <c r="O80" s="8">
        <f t="shared" si="9"/>
        <v>2</v>
      </c>
      <c r="P80" s="8">
        <f t="shared" si="10"/>
        <v>3</v>
      </c>
      <c r="Q80" s="183">
        <v>61</v>
      </c>
      <c r="R80" s="8">
        <v>49</v>
      </c>
      <c r="S80" s="8">
        <v>73</v>
      </c>
      <c r="T80" s="8">
        <f t="shared" si="11"/>
        <v>12</v>
      </c>
      <c r="U80" s="8">
        <f t="shared" si="12"/>
        <v>12</v>
      </c>
      <c r="V80" s="8">
        <f>IF('LL Revascularisation Summary'!$P$3=2, Q80, IF('LL Revascularisation Summary'!$P$3=1,L80))</f>
        <v>61</v>
      </c>
      <c r="W80" s="183">
        <f>IF('LL Revascularisation Summary'!$P$3=2, U80, IF('LL Revascularisation Summary'!$P$3=1,P80))</f>
        <v>12</v>
      </c>
      <c r="X80" s="183">
        <f>IF('LL Revascularisation Summary'!$P$3=2, T80, IF('LL Revascularisation Summary'!$P$3=1,O80))</f>
        <v>12</v>
      </c>
      <c r="Y80" s="184">
        <f t="shared" si="13"/>
        <v>0.5714285714285714</v>
      </c>
      <c r="Z80" s="184">
        <f t="shared" si="14"/>
        <v>0.29017857142857145</v>
      </c>
      <c r="AA80" s="184">
        <f t="shared" si="15"/>
        <v>0.13839285714285715</v>
      </c>
      <c r="AB80" s="8">
        <v>1</v>
      </c>
    </row>
    <row r="81" spans="1:28" x14ac:dyDescent="0.25">
      <c r="A81" t="s">
        <v>360</v>
      </c>
      <c r="B81" t="s">
        <v>361</v>
      </c>
      <c r="C81" s="95">
        <v>71</v>
      </c>
      <c r="D81" s="120" t="s">
        <v>613</v>
      </c>
      <c r="E81" s="162">
        <v>0.34000000357627869</v>
      </c>
      <c r="F81" s="5">
        <v>53</v>
      </c>
      <c r="G81" s="5">
        <v>7</v>
      </c>
      <c r="H81" s="5">
        <v>139</v>
      </c>
      <c r="I81" s="96">
        <v>199</v>
      </c>
      <c r="J81" t="str">
        <f t="shared" si="8"/>
        <v>RYR</v>
      </c>
      <c r="K81" s="8">
        <v>54</v>
      </c>
      <c r="L81" s="182">
        <v>7</v>
      </c>
      <c r="M81" s="8">
        <v>5</v>
      </c>
      <c r="N81" s="8">
        <v>11</v>
      </c>
      <c r="O81" s="8">
        <f t="shared" si="9"/>
        <v>2</v>
      </c>
      <c r="P81" s="8">
        <f t="shared" si="10"/>
        <v>4</v>
      </c>
      <c r="Q81" s="183">
        <v>34</v>
      </c>
      <c r="R81" s="8">
        <v>23</v>
      </c>
      <c r="S81" s="8">
        <v>46</v>
      </c>
      <c r="T81" s="8">
        <f t="shared" si="11"/>
        <v>11</v>
      </c>
      <c r="U81" s="8">
        <f t="shared" si="12"/>
        <v>12</v>
      </c>
      <c r="V81" s="8">
        <f>IF('LL Revascularisation Summary'!$P$3=2, Q81, IF('LL Revascularisation Summary'!$P$3=1,L81))</f>
        <v>34</v>
      </c>
      <c r="W81" s="183">
        <f>IF('LL Revascularisation Summary'!$P$3=2, U81, IF('LL Revascularisation Summary'!$P$3=1,P81))</f>
        <v>12</v>
      </c>
      <c r="X81" s="183">
        <f>IF('LL Revascularisation Summary'!$P$3=2, T81, IF('LL Revascularisation Summary'!$P$3=1,O81))</f>
        <v>11</v>
      </c>
      <c r="Y81" s="184">
        <f t="shared" si="13"/>
        <v>0.26633165829145727</v>
      </c>
      <c r="Z81" s="184">
        <f t="shared" si="14"/>
        <v>3.5175879396984924E-2</v>
      </c>
      <c r="AA81" s="184">
        <f t="shared" si="15"/>
        <v>0.69849246231155782</v>
      </c>
      <c r="AB81" s="8">
        <v>1</v>
      </c>
    </row>
    <row r="82" spans="1:28" x14ac:dyDescent="0.25">
      <c r="A82" t="s">
        <v>77</v>
      </c>
      <c r="B82" t="s">
        <v>78</v>
      </c>
      <c r="C82" s="95">
        <v>202</v>
      </c>
      <c r="D82" s="120" t="s">
        <v>977</v>
      </c>
      <c r="E82" s="162">
        <v>0.62000000476837158</v>
      </c>
      <c r="F82" s="5">
        <v>122</v>
      </c>
      <c r="G82" s="5">
        <v>64</v>
      </c>
      <c r="H82" s="5">
        <v>223</v>
      </c>
      <c r="I82" s="96">
        <v>409</v>
      </c>
      <c r="J82" t="str">
        <f t="shared" si="8"/>
        <v>RRK</v>
      </c>
      <c r="K82" s="8">
        <v>17</v>
      </c>
      <c r="L82" s="182">
        <v>5</v>
      </c>
      <c r="M82" s="8">
        <v>2</v>
      </c>
      <c r="N82" s="8">
        <v>7</v>
      </c>
      <c r="O82" s="8">
        <f t="shared" si="9"/>
        <v>3</v>
      </c>
      <c r="P82" s="8">
        <f t="shared" si="10"/>
        <v>2</v>
      </c>
      <c r="Q82" s="183">
        <v>62</v>
      </c>
      <c r="R82" s="8">
        <v>55.000000000000007</v>
      </c>
      <c r="S82" s="8">
        <v>69</v>
      </c>
      <c r="T82" s="8">
        <f t="shared" si="11"/>
        <v>6.9999999999999929</v>
      </c>
      <c r="U82" s="8">
        <f t="shared" si="12"/>
        <v>7</v>
      </c>
      <c r="V82" s="8">
        <f>IF('LL Revascularisation Summary'!$P$3=2, Q82, IF('LL Revascularisation Summary'!$P$3=1,L82))</f>
        <v>62</v>
      </c>
      <c r="W82" s="183">
        <f>IF('LL Revascularisation Summary'!$P$3=2, U82, IF('LL Revascularisation Summary'!$P$3=1,P82))</f>
        <v>7</v>
      </c>
      <c r="X82" s="183">
        <f>IF('LL Revascularisation Summary'!$P$3=2, T82, IF('LL Revascularisation Summary'!$P$3=1,O82))</f>
        <v>6.9999999999999929</v>
      </c>
      <c r="Y82" s="184">
        <f t="shared" si="13"/>
        <v>0.2982885085574572</v>
      </c>
      <c r="Z82" s="184">
        <f t="shared" si="14"/>
        <v>0.15647921760391198</v>
      </c>
      <c r="AA82" s="184">
        <f t="shared" si="15"/>
        <v>0.54523227383863082</v>
      </c>
      <c r="AB82" s="8">
        <v>1</v>
      </c>
    </row>
    <row r="83" spans="1:28" x14ac:dyDescent="0.25">
      <c r="A83" t="s">
        <v>56</v>
      </c>
      <c r="B83" t="s">
        <v>57</v>
      </c>
      <c r="C83" s="95">
        <v>64</v>
      </c>
      <c r="D83" s="120" t="s">
        <v>962</v>
      </c>
      <c r="E83" s="163">
        <v>0.55000001192092896</v>
      </c>
      <c r="F83" s="5">
        <v>51</v>
      </c>
      <c r="G83" s="5">
        <v>12</v>
      </c>
      <c r="H83" s="5">
        <v>59</v>
      </c>
      <c r="I83" s="96">
        <v>122</v>
      </c>
      <c r="J83" t="str">
        <f t="shared" si="8"/>
        <v>RKB</v>
      </c>
      <c r="K83" s="8">
        <v>31</v>
      </c>
      <c r="L83" s="182">
        <v>5</v>
      </c>
      <c r="M83" s="8">
        <v>3</v>
      </c>
      <c r="N83" s="8">
        <v>8</v>
      </c>
      <c r="O83" s="8">
        <f t="shared" si="9"/>
        <v>2</v>
      </c>
      <c r="P83" s="8">
        <f t="shared" si="10"/>
        <v>3</v>
      </c>
      <c r="Q83" s="183">
        <v>55</v>
      </c>
      <c r="R83" s="8">
        <v>42</v>
      </c>
      <c r="S83" s="8">
        <v>67</v>
      </c>
      <c r="T83" s="8">
        <f t="shared" si="11"/>
        <v>13</v>
      </c>
      <c r="U83" s="8">
        <f t="shared" si="12"/>
        <v>12</v>
      </c>
      <c r="V83" s="8">
        <f>IF('LL Revascularisation Summary'!$P$3=2, Q83, IF('LL Revascularisation Summary'!$P$3=1,L83))</f>
        <v>55</v>
      </c>
      <c r="W83" s="183">
        <f>IF('LL Revascularisation Summary'!$P$3=2, U83, IF('LL Revascularisation Summary'!$P$3=1,P83))</f>
        <v>12</v>
      </c>
      <c r="X83" s="183">
        <f>IF('LL Revascularisation Summary'!$P$3=2, T83, IF('LL Revascularisation Summary'!$P$3=1,O83))</f>
        <v>13</v>
      </c>
      <c r="Y83" s="184">
        <f t="shared" si="13"/>
        <v>0.41803278688524592</v>
      </c>
      <c r="Z83" s="184">
        <f t="shared" si="14"/>
        <v>9.8360655737704916E-2</v>
      </c>
      <c r="AA83" s="184">
        <f t="shared" si="15"/>
        <v>0.48360655737704916</v>
      </c>
      <c r="AB83" s="8">
        <v>1</v>
      </c>
    </row>
    <row r="84" spans="1:28" x14ac:dyDescent="0.25">
      <c r="A84" t="s">
        <v>336</v>
      </c>
      <c r="B84" t="s">
        <v>337</v>
      </c>
      <c r="C84" s="95">
        <v>4</v>
      </c>
      <c r="D84" s="120" t="s">
        <v>227</v>
      </c>
      <c r="E84" s="162" t="s">
        <v>227</v>
      </c>
      <c r="F84" s="5">
        <v>32</v>
      </c>
      <c r="G84" s="5">
        <v>4</v>
      </c>
      <c r="H84" s="5">
        <v>49</v>
      </c>
      <c r="I84" s="96">
        <v>85</v>
      </c>
      <c r="J84" t="str">
        <f t="shared" si="8"/>
        <v>R0D</v>
      </c>
      <c r="K84" s="8" t="e">
        <v>#N/A</v>
      </c>
      <c r="L84" s="182" t="s">
        <v>227</v>
      </c>
      <c r="M84" s="8" t="e">
        <v>#VALUE!</v>
      </c>
      <c r="N84" s="8" t="e">
        <v>#VALUE!</v>
      </c>
      <c r="O84" s="8" t="e">
        <f t="shared" si="9"/>
        <v>#VALUE!</v>
      </c>
      <c r="P84" s="8" t="e">
        <f t="shared" si="10"/>
        <v>#VALUE!</v>
      </c>
      <c r="Q84" s="183" t="e">
        <v>#VALUE!</v>
      </c>
      <c r="R84" s="8">
        <v>7.0000000000000009</v>
      </c>
      <c r="S84" s="8">
        <v>93</v>
      </c>
      <c r="T84" s="8" t="e">
        <f t="shared" si="11"/>
        <v>#VALUE!</v>
      </c>
      <c r="U84" s="8" t="e">
        <f t="shared" si="12"/>
        <v>#VALUE!</v>
      </c>
      <c r="V84" s="8" t="e">
        <f>IF('LL Revascularisation Summary'!$P$3=2, Q84, IF('LL Revascularisation Summary'!$P$3=1,L84))</f>
        <v>#VALUE!</v>
      </c>
      <c r="W84" s="183" t="e">
        <f>IF('LL Revascularisation Summary'!$P$3=2, U84, IF('LL Revascularisation Summary'!$P$3=1,P84))</f>
        <v>#VALUE!</v>
      </c>
      <c r="X84" s="183" t="e">
        <f>IF('LL Revascularisation Summary'!$P$3=2, T84, IF('LL Revascularisation Summary'!$P$3=1,O84))</f>
        <v>#VALUE!</v>
      </c>
      <c r="Y84" s="184">
        <f t="shared" si="13"/>
        <v>0.37647058823529411</v>
      </c>
      <c r="Z84" s="184">
        <f t="shared" si="14"/>
        <v>4.7058823529411764E-2</v>
      </c>
      <c r="AA84" s="184">
        <f t="shared" si="15"/>
        <v>0.57647058823529407</v>
      </c>
      <c r="AB84" s="8">
        <v>1</v>
      </c>
    </row>
    <row r="85" spans="1:28" x14ac:dyDescent="0.25">
      <c r="A85" t="s">
        <v>87</v>
      </c>
      <c r="B85" t="s">
        <v>228</v>
      </c>
      <c r="C85" s="95">
        <v>149</v>
      </c>
      <c r="D85" s="120" t="s">
        <v>986</v>
      </c>
      <c r="E85" s="162">
        <v>0.31000000238418579</v>
      </c>
      <c r="F85" s="5">
        <v>67</v>
      </c>
      <c r="G85" s="5">
        <v>41</v>
      </c>
      <c r="H85" s="5">
        <v>259</v>
      </c>
      <c r="I85" s="96">
        <v>367</v>
      </c>
      <c r="J85" t="str">
        <f t="shared" si="8"/>
        <v>RTG</v>
      </c>
      <c r="K85" s="8">
        <v>55</v>
      </c>
      <c r="L85" s="182">
        <v>8</v>
      </c>
      <c r="M85" s="8">
        <v>4</v>
      </c>
      <c r="N85" s="8">
        <v>14</v>
      </c>
      <c r="O85" s="8">
        <f t="shared" si="9"/>
        <v>4</v>
      </c>
      <c r="P85" s="8">
        <f t="shared" si="10"/>
        <v>6</v>
      </c>
      <c r="Q85" s="183">
        <v>31</v>
      </c>
      <c r="R85" s="8">
        <v>24</v>
      </c>
      <c r="S85" s="8">
        <v>39</v>
      </c>
      <c r="T85" s="8">
        <f t="shared" si="11"/>
        <v>7</v>
      </c>
      <c r="U85" s="8">
        <f t="shared" si="12"/>
        <v>8</v>
      </c>
      <c r="V85" s="8">
        <f>IF('LL Revascularisation Summary'!$P$3=2, Q85, IF('LL Revascularisation Summary'!$P$3=1,L85))</f>
        <v>31</v>
      </c>
      <c r="W85" s="183">
        <f>IF('LL Revascularisation Summary'!$P$3=2, U85, IF('LL Revascularisation Summary'!$P$3=1,P85))</f>
        <v>8</v>
      </c>
      <c r="X85" s="183">
        <f>IF('LL Revascularisation Summary'!$P$3=2, T85, IF('LL Revascularisation Summary'!$P$3=1,O85))</f>
        <v>7</v>
      </c>
      <c r="Y85" s="184">
        <f t="shared" si="13"/>
        <v>0.18256130790190736</v>
      </c>
      <c r="Z85" s="184">
        <f t="shared" si="14"/>
        <v>0.11171662125340599</v>
      </c>
      <c r="AA85" s="184">
        <f t="shared" si="15"/>
        <v>0.70572207084468663</v>
      </c>
      <c r="AB85" s="8">
        <v>1</v>
      </c>
    </row>
    <row r="86" spans="1:28" x14ac:dyDescent="0.25">
      <c r="A86" t="s">
        <v>99</v>
      </c>
      <c r="B86" t="s">
        <v>100</v>
      </c>
      <c r="C86" s="95">
        <v>69</v>
      </c>
      <c r="D86" s="120" t="s">
        <v>450</v>
      </c>
      <c r="E86" s="162">
        <v>0.51999998092651367</v>
      </c>
      <c r="F86" s="5">
        <v>68</v>
      </c>
      <c r="G86" s="5">
        <v>68</v>
      </c>
      <c r="H86" s="5">
        <v>49</v>
      </c>
      <c r="I86" s="96">
        <v>185</v>
      </c>
      <c r="J86" t="str">
        <f t="shared" si="8"/>
        <v>RWE</v>
      </c>
      <c r="K86" s="8">
        <v>34</v>
      </c>
      <c r="L86" s="182">
        <v>5</v>
      </c>
      <c r="M86" s="8">
        <v>1</v>
      </c>
      <c r="N86" s="8">
        <v>9</v>
      </c>
      <c r="O86" s="8">
        <f t="shared" si="9"/>
        <v>4</v>
      </c>
      <c r="P86" s="8">
        <f t="shared" si="10"/>
        <v>4</v>
      </c>
      <c r="Q86" s="183">
        <v>52</v>
      </c>
      <c r="R86" s="8">
        <v>40</v>
      </c>
      <c r="S86" s="8">
        <v>64</v>
      </c>
      <c r="T86" s="8">
        <f t="shared" si="11"/>
        <v>12</v>
      </c>
      <c r="U86" s="8">
        <f t="shared" si="12"/>
        <v>12</v>
      </c>
      <c r="V86" s="8">
        <f>IF('LL Revascularisation Summary'!$P$3=2, Q86, IF('LL Revascularisation Summary'!$P$3=1,L86))</f>
        <v>52</v>
      </c>
      <c r="W86" s="183">
        <f>IF('LL Revascularisation Summary'!$P$3=2, U86, IF('LL Revascularisation Summary'!$P$3=1,P86))</f>
        <v>12</v>
      </c>
      <c r="X86" s="183">
        <f>IF('LL Revascularisation Summary'!$P$3=2, T86, IF('LL Revascularisation Summary'!$P$3=1,O86))</f>
        <v>12</v>
      </c>
      <c r="Y86" s="184">
        <f t="shared" si="13"/>
        <v>0.36756756756756759</v>
      </c>
      <c r="Z86" s="184">
        <f t="shared" si="14"/>
        <v>0.36756756756756759</v>
      </c>
      <c r="AA86" s="184">
        <f t="shared" si="15"/>
        <v>0.26486486486486488</v>
      </c>
      <c r="AB86" s="8">
        <v>1</v>
      </c>
    </row>
    <row r="87" spans="1:28" x14ac:dyDescent="0.25">
      <c r="A87" t="s">
        <v>55</v>
      </c>
      <c r="B87" t="s">
        <v>159</v>
      </c>
      <c r="C87" s="95">
        <v>7</v>
      </c>
      <c r="D87" s="120" t="s">
        <v>227</v>
      </c>
      <c r="E87" s="162" t="s">
        <v>227</v>
      </c>
      <c r="F87" s="5">
        <v>30</v>
      </c>
      <c r="G87" s="5">
        <v>4</v>
      </c>
      <c r="H87" s="5">
        <v>0</v>
      </c>
      <c r="I87" s="96">
        <v>34</v>
      </c>
      <c r="J87" t="str">
        <f t="shared" si="8"/>
        <v>RK9</v>
      </c>
      <c r="K87" s="8" t="e">
        <v>#N/A</v>
      </c>
      <c r="L87" s="182" t="s">
        <v>472</v>
      </c>
      <c r="M87" s="8" t="e">
        <v>#VALUE!</v>
      </c>
      <c r="N87" s="8" t="e">
        <v>#VALUE!</v>
      </c>
      <c r="O87" s="8" t="e">
        <f t="shared" si="9"/>
        <v>#VALUE!</v>
      </c>
      <c r="P87" s="8" t="e">
        <f t="shared" si="10"/>
        <v>#VALUE!</v>
      </c>
      <c r="Q87" s="183" t="e">
        <v>#VALUE!</v>
      </c>
      <c r="R87" s="8">
        <v>18</v>
      </c>
      <c r="S87" s="8">
        <v>90</v>
      </c>
      <c r="T87" s="8" t="e">
        <f t="shared" si="11"/>
        <v>#VALUE!</v>
      </c>
      <c r="U87" s="8" t="e">
        <f t="shared" si="12"/>
        <v>#VALUE!</v>
      </c>
      <c r="V87" s="8" t="e">
        <f>IF('LL Revascularisation Summary'!$P$3=2, Q87, IF('LL Revascularisation Summary'!$P$3=1,L87))</f>
        <v>#VALUE!</v>
      </c>
      <c r="W87" s="183" t="e">
        <f>IF('LL Revascularisation Summary'!$P$3=2, U87, IF('LL Revascularisation Summary'!$P$3=1,P87))</f>
        <v>#VALUE!</v>
      </c>
      <c r="X87" s="183" t="e">
        <f>IF('LL Revascularisation Summary'!$P$3=2, T87, IF('LL Revascularisation Summary'!$P$3=1,O87))</f>
        <v>#VALUE!</v>
      </c>
      <c r="Y87" s="184">
        <f t="shared" si="13"/>
        <v>0.88235294117647056</v>
      </c>
      <c r="Z87" s="184">
        <f t="shared" si="14"/>
        <v>0.11764705882352941</v>
      </c>
      <c r="AA87" s="184">
        <f t="shared" si="15"/>
        <v>0</v>
      </c>
      <c r="AB87" s="8">
        <v>1</v>
      </c>
    </row>
    <row r="88" spans="1:28" x14ac:dyDescent="0.25">
      <c r="A88" t="s">
        <v>101</v>
      </c>
      <c r="B88" t="s">
        <v>452</v>
      </c>
      <c r="C88" s="95">
        <v>8</v>
      </c>
      <c r="D88" s="120" t="s">
        <v>227</v>
      </c>
      <c r="E88" s="162" t="s">
        <v>227</v>
      </c>
      <c r="F88" s="5">
        <v>28</v>
      </c>
      <c r="G88" s="5">
        <v>10</v>
      </c>
      <c r="H88" s="5">
        <v>6</v>
      </c>
      <c r="I88" s="96">
        <v>44</v>
      </c>
      <c r="J88" t="str">
        <f t="shared" si="8"/>
        <v>RWG</v>
      </c>
      <c r="K88" s="8" t="e">
        <v>#N/A</v>
      </c>
      <c r="L88" s="182" t="s">
        <v>472</v>
      </c>
      <c r="M88" s="8" t="e">
        <v>#VALUE!</v>
      </c>
      <c r="N88" s="8" t="e">
        <v>#VALUE!</v>
      </c>
      <c r="O88" s="8" t="e">
        <f t="shared" si="9"/>
        <v>#VALUE!</v>
      </c>
      <c r="P88" s="8" t="e">
        <f t="shared" si="10"/>
        <v>#VALUE!</v>
      </c>
      <c r="Q88" s="183" t="e">
        <v>#VALUE!</v>
      </c>
      <c r="R88" s="8">
        <v>16</v>
      </c>
      <c r="S88" s="8">
        <v>84</v>
      </c>
      <c r="T88" s="8" t="e">
        <f t="shared" si="11"/>
        <v>#VALUE!</v>
      </c>
      <c r="U88" s="8" t="e">
        <f t="shared" si="12"/>
        <v>#VALUE!</v>
      </c>
      <c r="V88" s="8" t="e">
        <f>IF('LL Revascularisation Summary'!$P$3=2, Q88, IF('LL Revascularisation Summary'!$P$3=1,L88))</f>
        <v>#VALUE!</v>
      </c>
      <c r="W88" s="183" t="e">
        <f>IF('LL Revascularisation Summary'!$P$3=2, U88, IF('LL Revascularisation Summary'!$P$3=1,P88))</f>
        <v>#VALUE!</v>
      </c>
      <c r="X88" s="183" t="e">
        <f>IF('LL Revascularisation Summary'!$P$3=2, T88, IF('LL Revascularisation Summary'!$P$3=1,O88))</f>
        <v>#VALUE!</v>
      </c>
      <c r="Y88" s="184">
        <f t="shared" si="13"/>
        <v>0.63636363636363635</v>
      </c>
      <c r="Z88" s="184">
        <f t="shared" si="14"/>
        <v>0.22727272727272727</v>
      </c>
      <c r="AA88" s="184">
        <f t="shared" si="15"/>
        <v>0.13636363636363635</v>
      </c>
      <c r="AB88" s="8">
        <v>1</v>
      </c>
    </row>
    <row r="89" spans="1:28" x14ac:dyDescent="0.25">
      <c r="A89" t="s">
        <v>33</v>
      </c>
      <c r="B89" t="s">
        <v>34</v>
      </c>
      <c r="C89" s="95" t="s">
        <v>227</v>
      </c>
      <c r="D89" s="120" t="s">
        <v>227</v>
      </c>
      <c r="E89" s="165" t="s">
        <v>227</v>
      </c>
      <c r="F89" s="5" t="s">
        <v>227</v>
      </c>
      <c r="G89" s="5" t="s">
        <v>227</v>
      </c>
      <c r="H89" s="5" t="s">
        <v>227</v>
      </c>
      <c r="I89" s="96" t="s">
        <v>227</v>
      </c>
      <c r="J89" t="str">
        <f t="shared" si="8"/>
        <v>RGR</v>
      </c>
      <c r="K89" s="8" t="e">
        <v>#N/A</v>
      </c>
      <c r="L89" s="182" t="s">
        <v>227</v>
      </c>
      <c r="M89" s="8" t="e">
        <v>#VALUE!</v>
      </c>
      <c r="N89" s="8" t="e">
        <v>#VALUE!</v>
      </c>
      <c r="O89" s="8" t="e">
        <f t="shared" si="9"/>
        <v>#VALUE!</v>
      </c>
      <c r="P89" s="8" t="e">
        <f t="shared" si="10"/>
        <v>#VALUE!</v>
      </c>
      <c r="Q89" s="183" t="e">
        <v>#VALUE!</v>
      </c>
      <c r="R89" s="8" t="e">
        <v>#VALUE!</v>
      </c>
      <c r="S89" s="8" t="e">
        <v>#VALUE!</v>
      </c>
      <c r="T89" s="8" t="e">
        <f t="shared" si="11"/>
        <v>#VALUE!</v>
      </c>
      <c r="U89" s="8" t="e">
        <f t="shared" si="12"/>
        <v>#VALUE!</v>
      </c>
      <c r="V89" s="8" t="e">
        <f>IF('LL Revascularisation Summary'!$P$3=2, Q89, IF('LL Revascularisation Summary'!$P$3=1,L89))</f>
        <v>#VALUE!</v>
      </c>
      <c r="W89" s="183" t="e">
        <f>IF('LL Revascularisation Summary'!$P$3=2, U89, IF('LL Revascularisation Summary'!$P$3=1,P89))</f>
        <v>#VALUE!</v>
      </c>
      <c r="X89" s="183" t="e">
        <f>IF('LL Revascularisation Summary'!$P$3=2, T89, IF('LL Revascularisation Summary'!$P$3=1,O89))</f>
        <v>#VALUE!</v>
      </c>
      <c r="Y89" s="184" t="e">
        <f t="shared" si="13"/>
        <v>#VALUE!</v>
      </c>
      <c r="Z89" s="184" t="e">
        <f t="shared" si="14"/>
        <v>#VALUE!</v>
      </c>
      <c r="AA89" s="184" t="e">
        <f t="shared" si="15"/>
        <v>#VALUE!</v>
      </c>
      <c r="AB89" s="8">
        <v>0</v>
      </c>
    </row>
    <row r="90" spans="1:28" x14ac:dyDescent="0.25">
      <c r="A90" t="s">
        <v>105</v>
      </c>
      <c r="B90" t="s">
        <v>106</v>
      </c>
      <c r="C90" s="95">
        <v>55</v>
      </c>
      <c r="D90" s="120" t="s">
        <v>164</v>
      </c>
      <c r="E90" s="163">
        <v>0.55000001192092896</v>
      </c>
      <c r="F90" s="5">
        <v>96</v>
      </c>
      <c r="G90" s="5">
        <v>26</v>
      </c>
      <c r="H90" s="5">
        <v>31</v>
      </c>
      <c r="I90" s="96">
        <v>153</v>
      </c>
      <c r="J90" t="str">
        <f t="shared" si="8"/>
        <v>RWP</v>
      </c>
      <c r="K90" s="8">
        <v>32</v>
      </c>
      <c r="L90" s="182">
        <v>5</v>
      </c>
      <c r="M90" s="8">
        <v>3</v>
      </c>
      <c r="N90" s="8">
        <v>7</v>
      </c>
      <c r="O90" s="8">
        <f t="shared" si="9"/>
        <v>2</v>
      </c>
      <c r="P90" s="8">
        <f t="shared" si="10"/>
        <v>2</v>
      </c>
      <c r="Q90" s="183">
        <v>55</v>
      </c>
      <c r="R90" s="8">
        <v>41</v>
      </c>
      <c r="S90" s="8">
        <v>68</v>
      </c>
      <c r="T90" s="8">
        <f t="shared" si="11"/>
        <v>14</v>
      </c>
      <c r="U90" s="8">
        <f t="shared" si="12"/>
        <v>13</v>
      </c>
      <c r="V90" s="8">
        <f>IF('LL Revascularisation Summary'!$P$3=2, Q90, IF('LL Revascularisation Summary'!$P$3=1,L90))</f>
        <v>55</v>
      </c>
      <c r="W90" s="183">
        <f>IF('LL Revascularisation Summary'!$P$3=2, U90, IF('LL Revascularisation Summary'!$P$3=1,P90))</f>
        <v>13</v>
      </c>
      <c r="X90" s="183">
        <f>IF('LL Revascularisation Summary'!$P$3=2, T90, IF('LL Revascularisation Summary'!$P$3=1,O90))</f>
        <v>14</v>
      </c>
      <c r="Y90" s="184">
        <f t="shared" si="13"/>
        <v>0.62745098039215685</v>
      </c>
      <c r="Z90" s="184">
        <f t="shared" si="14"/>
        <v>0.16993464052287582</v>
      </c>
      <c r="AA90" s="184">
        <f t="shared" si="15"/>
        <v>0.20261437908496732</v>
      </c>
      <c r="AB90" s="8">
        <v>1</v>
      </c>
    </row>
    <row r="91" spans="1:28" x14ac:dyDescent="0.25">
      <c r="A91" t="s">
        <v>303</v>
      </c>
      <c r="B91" t="s">
        <v>304</v>
      </c>
      <c r="C91" s="95">
        <v>10</v>
      </c>
      <c r="D91" s="120" t="s">
        <v>987</v>
      </c>
      <c r="E91" s="162">
        <v>0.20000000298023224</v>
      </c>
      <c r="F91" s="5">
        <v>0</v>
      </c>
      <c r="G91" s="5">
        <v>0</v>
      </c>
      <c r="H91" s="5">
        <v>61</v>
      </c>
      <c r="I91" s="96">
        <v>61</v>
      </c>
      <c r="J91" t="str">
        <f t="shared" si="8"/>
        <v>RRF</v>
      </c>
      <c r="K91" s="8" t="e">
        <v>#N/A</v>
      </c>
      <c r="L91" s="182">
        <v>7</v>
      </c>
      <c r="M91" s="8">
        <v>6</v>
      </c>
      <c r="N91" s="8">
        <v>19</v>
      </c>
      <c r="O91" s="8">
        <f t="shared" si="9"/>
        <v>1</v>
      </c>
      <c r="P91" s="8">
        <f t="shared" si="10"/>
        <v>12</v>
      </c>
      <c r="Q91" s="183">
        <v>20</v>
      </c>
      <c r="R91" s="8">
        <v>3</v>
      </c>
      <c r="S91" s="8">
        <v>56.000000000000007</v>
      </c>
      <c r="T91" s="8">
        <f t="shared" si="11"/>
        <v>17</v>
      </c>
      <c r="U91" s="8">
        <f t="shared" si="12"/>
        <v>36.000000000000007</v>
      </c>
      <c r="V91" s="8">
        <f>IF('LL Revascularisation Summary'!$P$3=2, Q91, IF('LL Revascularisation Summary'!$P$3=1,L91))</f>
        <v>20</v>
      </c>
      <c r="W91" s="183">
        <f>IF('LL Revascularisation Summary'!$P$3=2, U91, IF('LL Revascularisation Summary'!$P$3=1,P91))</f>
        <v>36.000000000000007</v>
      </c>
      <c r="X91" s="183">
        <f>IF('LL Revascularisation Summary'!$P$3=2, T91, IF('LL Revascularisation Summary'!$P$3=1,O91))</f>
        <v>17</v>
      </c>
      <c r="Y91" s="184">
        <f t="shared" si="13"/>
        <v>0</v>
      </c>
      <c r="Z91" s="184">
        <f t="shared" si="14"/>
        <v>0</v>
      </c>
      <c r="AA91" s="184">
        <f t="shared" si="15"/>
        <v>1</v>
      </c>
      <c r="AB91" s="8">
        <v>0</v>
      </c>
    </row>
    <row r="92" spans="1:28" x14ac:dyDescent="0.25">
      <c r="A92" s="168" t="s">
        <v>22</v>
      </c>
      <c r="B92" s="168" t="s">
        <v>23</v>
      </c>
      <c r="C92" s="99">
        <v>134</v>
      </c>
      <c r="D92" s="121" t="s">
        <v>988</v>
      </c>
      <c r="E92" s="169">
        <v>0.64999997615814209</v>
      </c>
      <c r="F92" s="100">
        <v>92</v>
      </c>
      <c r="G92" s="101">
        <v>16</v>
      </c>
      <c r="H92" s="101">
        <v>237</v>
      </c>
      <c r="I92" s="102">
        <v>345</v>
      </c>
      <c r="J92" t="str">
        <f t="shared" si="8"/>
        <v>RCB</v>
      </c>
      <c r="K92" s="8">
        <v>8</v>
      </c>
      <c r="L92" s="182">
        <v>3</v>
      </c>
      <c r="M92" s="8">
        <v>2</v>
      </c>
      <c r="N92" s="8">
        <v>7</v>
      </c>
      <c r="O92" s="8">
        <f t="shared" si="9"/>
        <v>1</v>
      </c>
      <c r="P92" s="8">
        <f t="shared" si="10"/>
        <v>4</v>
      </c>
      <c r="Q92" s="183">
        <v>65</v>
      </c>
      <c r="R92" s="8">
        <v>56.000000000000007</v>
      </c>
      <c r="S92" s="8">
        <v>73</v>
      </c>
      <c r="T92" s="8">
        <f t="shared" si="11"/>
        <v>8.9999999999999929</v>
      </c>
      <c r="U92" s="8">
        <f t="shared" si="12"/>
        <v>8</v>
      </c>
      <c r="V92" s="8">
        <f>IF('LL Revascularisation Summary'!$P$3=2, Q92, IF('LL Revascularisation Summary'!$P$3=1,L92))</f>
        <v>65</v>
      </c>
      <c r="W92" s="183">
        <f>IF('LL Revascularisation Summary'!$P$3=2, U92, IF('LL Revascularisation Summary'!$P$3=1,P92))</f>
        <v>8</v>
      </c>
      <c r="X92" s="183">
        <f>IF('LL Revascularisation Summary'!$P$3=2, T92, IF('LL Revascularisation Summary'!$P$3=1,O92))</f>
        <v>8.9999999999999929</v>
      </c>
      <c r="Y92" s="184">
        <f t="shared" si="13"/>
        <v>0.26666666666666666</v>
      </c>
      <c r="Z92" s="184">
        <f t="shared" si="14"/>
        <v>4.6376811594202899E-2</v>
      </c>
      <c r="AA92" s="184">
        <f t="shared" si="15"/>
        <v>0.68695652173913047</v>
      </c>
      <c r="AB92" s="8">
        <v>1</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94"/>
  <sheetViews>
    <sheetView showGridLines="0" zoomScaleNormal="100" workbookViewId="0">
      <selection activeCell="B1" sqref="B1"/>
    </sheetView>
  </sheetViews>
  <sheetFormatPr defaultRowHeight="15" x14ac:dyDescent="0.25"/>
  <cols>
    <col min="1" max="1" width="12.42578125" bestFit="1" customWidth="1"/>
    <col min="2" max="2" width="65.140625" bestFit="1" customWidth="1"/>
    <col min="5" max="5" width="9.7109375" bestFit="1" customWidth="1"/>
    <col min="6" max="6" width="12.7109375" customWidth="1"/>
    <col min="7" max="7" width="10.85546875" customWidth="1"/>
    <col min="10" max="10" width="12.85546875" customWidth="1"/>
    <col min="11" max="11" width="13.7109375" bestFit="1" customWidth="1"/>
    <col min="17" max="17" width="9.140625" style="42"/>
    <col min="18" max="18" width="33.140625" style="216" bestFit="1" customWidth="1"/>
    <col min="19" max="30" width="9.140625" style="216"/>
    <col min="31" max="31" width="10.42578125" style="216" bestFit="1" customWidth="1"/>
    <col min="32" max="32" width="9.28515625" style="216" customWidth="1"/>
    <col min="33" max="33" width="9.7109375" style="216" bestFit="1" customWidth="1"/>
    <col min="34" max="34" width="14.5703125" style="216" bestFit="1" customWidth="1"/>
    <col min="35" max="35" width="14.7109375" style="216" bestFit="1" customWidth="1"/>
    <col min="36" max="40" width="9.140625" style="216"/>
    <col min="41" max="45" width="9.140625" style="22"/>
    <col min="46" max="49" width="9.140625" style="128"/>
    <col min="50" max="55" width="9.140625" style="42"/>
  </cols>
  <sheetData>
    <row r="1" spans="1:35" ht="30.75" customHeight="1" x14ac:dyDescent="0.25">
      <c r="A1" s="12" t="s">
        <v>229</v>
      </c>
      <c r="B1" s="13" t="s">
        <v>7</v>
      </c>
      <c r="AA1" s="216" t="s">
        <v>386</v>
      </c>
      <c r="AB1" s="216" t="s">
        <v>485</v>
      </c>
      <c r="AC1" s="216" t="s">
        <v>393</v>
      </c>
      <c r="AD1" s="216" t="s">
        <v>394</v>
      </c>
      <c r="AE1" s="224" t="s">
        <v>385</v>
      </c>
      <c r="AF1" s="225" t="s">
        <v>480</v>
      </c>
      <c r="AG1" s="226" t="s">
        <v>955</v>
      </c>
      <c r="AH1" s="227" t="s">
        <v>483</v>
      </c>
      <c r="AI1" s="228" t="s">
        <v>484</v>
      </c>
    </row>
    <row r="2" spans="1:35" x14ac:dyDescent="0.25">
      <c r="AA2" s="216">
        <f>VLOOKUP($B$1,'Lower Limb Angioplasty'!$B:$R,13,FALSE)</f>
        <v>37</v>
      </c>
      <c r="AB2" s="229">
        <f>VLOOKUP($B$1,'Lower Limb Angioplasty'!$B:$R,10,FALSE)</f>
        <v>0.75</v>
      </c>
      <c r="AC2" s="229">
        <f>VLOOKUP($B$1,'Lower Limb Angioplasty'!$B:$R,16,FALSE)</f>
        <v>0.17000000000000004</v>
      </c>
      <c r="AD2" s="229">
        <f>VLOOKUP($B$1,'Lower Limb Angioplasty'!$B:$R,17,FALSE)</f>
        <v>0.13</v>
      </c>
      <c r="AE2" s="216" t="s">
        <v>105</v>
      </c>
      <c r="AF2" s="216">
        <v>1</v>
      </c>
      <c r="AG2" s="230">
        <f>VLOOKUP($AE2,'Lower Limb Angioplasty'!$A:$R,11,FALSE)</f>
        <v>0</v>
      </c>
      <c r="AH2" s="230">
        <f>VLOOKUP($AE2,'Lower Limb Angioplasty'!$A:$R,17,FALSE)</f>
        <v>0</v>
      </c>
      <c r="AI2" s="230">
        <f>VLOOKUP($AE2,'Lower Limb Angioplasty'!$A:$R,18,FALSE)</f>
        <v>0.26</v>
      </c>
    </row>
    <row r="3" spans="1:35" x14ac:dyDescent="0.25">
      <c r="AE3" s="216" t="s">
        <v>3</v>
      </c>
      <c r="AF3" s="216">
        <v>2</v>
      </c>
      <c r="AG3" s="230">
        <f>VLOOKUP($AE3,'Lower Limb Angioplasty'!$A:$R,11,FALSE)</f>
        <v>5.9999998658895493E-2</v>
      </c>
      <c r="AH3" s="230">
        <f>VLOOKUP($AE3,'Lower Limb Angioplasty'!$A:$R,17,FALSE)</f>
        <v>4.9999998658895491E-2</v>
      </c>
      <c r="AI3" s="230">
        <f>VLOOKUP($AE3,'Lower Limb Angioplasty'!$A:$R,18,FALSE)</f>
        <v>0.10000000134110451</v>
      </c>
    </row>
    <row r="4" spans="1:35" x14ac:dyDescent="0.25">
      <c r="AE4" s="216" t="s">
        <v>45</v>
      </c>
      <c r="AF4" s="216">
        <v>3</v>
      </c>
      <c r="AG4" s="230">
        <f>VLOOKUP($AE4,'Lower Limb Angioplasty'!$A:$R,11,FALSE)</f>
        <v>0.11999999731779099</v>
      </c>
      <c r="AH4" s="230">
        <f>VLOOKUP($AE4,'Lower Limb Angioplasty'!$A:$R,17,FALSE)</f>
        <v>3.9999997317790983E-2</v>
      </c>
      <c r="AI4" s="230">
        <f>VLOOKUP($AE4,'Lower Limb Angioplasty'!$A:$R,18,FALSE)</f>
        <v>5.0000002682209027E-2</v>
      </c>
    </row>
    <row r="5" spans="1:35" x14ac:dyDescent="0.25">
      <c r="AE5" s="216" t="s">
        <v>94</v>
      </c>
      <c r="AF5" s="216">
        <v>4</v>
      </c>
      <c r="AG5" s="230">
        <f>VLOOKUP($AE5,'Lower Limb Angioplasty'!$A:$R,11,FALSE)</f>
        <v>0.14000000059604645</v>
      </c>
      <c r="AH5" s="230">
        <f>VLOOKUP($AE5,'Lower Limb Angioplasty'!$A:$R,17,FALSE)</f>
        <v>0.12000000059604644</v>
      </c>
      <c r="AI5" s="230">
        <f>VLOOKUP($AE5,'Lower Limb Angioplasty'!$A:$R,18,FALSE)</f>
        <v>0.28999999940395355</v>
      </c>
    </row>
    <row r="6" spans="1:35" x14ac:dyDescent="0.25">
      <c r="AE6" s="216" t="s">
        <v>24</v>
      </c>
      <c r="AF6" s="216">
        <v>5</v>
      </c>
      <c r="AG6" s="230">
        <f>VLOOKUP($AE6,'Lower Limb Angioplasty'!$A:$R,11,FALSE)</f>
        <v>0.15000000596046448</v>
      </c>
      <c r="AH6" s="230">
        <f>VLOOKUP($AE6,'Lower Limb Angioplasty'!$A:$R,17,FALSE)</f>
        <v>4.0000005960464477E-2</v>
      </c>
      <c r="AI6" s="230">
        <f>VLOOKUP($AE6,'Lower Limb Angioplasty'!$A:$R,18,FALSE)</f>
        <v>4.9999994039535534E-2</v>
      </c>
    </row>
    <row r="7" spans="1:35" x14ac:dyDescent="0.25">
      <c r="AE7" s="216" t="s">
        <v>99</v>
      </c>
      <c r="AF7" s="216">
        <v>6</v>
      </c>
      <c r="AG7" s="230">
        <f>VLOOKUP($AE7,'Lower Limb Angioplasty'!$A:$R,11,FALSE)</f>
        <v>0.17000000178813934</v>
      </c>
      <c r="AH7" s="230">
        <f>VLOOKUP($AE7,'Lower Limb Angioplasty'!$A:$R,17,FALSE)</f>
        <v>0.12000000178813934</v>
      </c>
      <c r="AI7" s="230">
        <f>VLOOKUP($AE7,'Lower Limb Angioplasty'!$A:$R,18,FALSE)</f>
        <v>0.19999999821186065</v>
      </c>
    </row>
    <row r="8" spans="1:35" x14ac:dyDescent="0.25">
      <c r="AE8" s="216" t="s">
        <v>47</v>
      </c>
      <c r="AF8" s="216">
        <v>7</v>
      </c>
      <c r="AG8" s="230">
        <f>VLOOKUP($AE8,'Lower Limb Angioplasty'!$A:$R,11,FALSE)</f>
        <v>0.23999999463558197</v>
      </c>
      <c r="AH8" s="230">
        <f>VLOOKUP($AE8,'Lower Limb Angioplasty'!$A:$R,17,FALSE)</f>
        <v>7.9999994635581967E-2</v>
      </c>
      <c r="AI8" s="230">
        <f>VLOOKUP($AE8,'Lower Limb Angioplasty'!$A:$R,18,FALSE)</f>
        <v>0.10000000536441805</v>
      </c>
    </row>
    <row r="9" spans="1:35" x14ac:dyDescent="0.25">
      <c r="AE9" s="216" t="s">
        <v>53</v>
      </c>
      <c r="AF9" s="216">
        <v>8</v>
      </c>
      <c r="AG9" s="230">
        <f>VLOOKUP($AE9,'Lower Limb Angioplasty'!$A:$R,11,FALSE)</f>
        <v>0.37999999523162842</v>
      </c>
      <c r="AH9" s="230">
        <f>VLOOKUP($AE9,'Lower Limb Angioplasty'!$A:$R,17,FALSE)</f>
        <v>9.9999995231628391E-2</v>
      </c>
      <c r="AI9" s="230">
        <f>VLOOKUP($AE9,'Lower Limb Angioplasty'!$A:$R,18,FALSE)</f>
        <v>0.11000000476837157</v>
      </c>
    </row>
    <row r="10" spans="1:35" x14ac:dyDescent="0.25">
      <c r="AE10" s="216" t="s">
        <v>360</v>
      </c>
      <c r="AF10" s="216">
        <v>9</v>
      </c>
      <c r="AG10" s="230">
        <f>VLOOKUP($AE10,'Lower Limb Angioplasty'!$A:$R,11,FALSE)</f>
        <v>0.38999998569488525</v>
      </c>
      <c r="AH10" s="230">
        <f>VLOOKUP($AE10,'Lower Limb Angioplasty'!$A:$R,17,FALSE)</f>
        <v>9.9999985694885274E-2</v>
      </c>
      <c r="AI10" s="230">
        <f>VLOOKUP($AE10,'Lower Limb Angioplasty'!$A:$R,18,FALSE)</f>
        <v>0.10000001430511474</v>
      </c>
    </row>
    <row r="11" spans="1:35" x14ac:dyDescent="0.25">
      <c r="AE11" s="216" t="s">
        <v>182</v>
      </c>
      <c r="AF11" s="216">
        <v>10</v>
      </c>
      <c r="AG11" s="230">
        <f>VLOOKUP($AE11,'Lower Limb Angioplasty'!$A:$R,11,FALSE)</f>
        <v>0.40999999642372131</v>
      </c>
      <c r="AH11" s="230">
        <f>VLOOKUP($AE11,'Lower Limb Angioplasty'!$A:$R,17,FALSE)</f>
        <v>0.15999999642372131</v>
      </c>
      <c r="AI11" s="230">
        <f>VLOOKUP($AE11,'Lower Limb Angioplasty'!$A:$R,18,FALSE)</f>
        <v>0.18000000357627866</v>
      </c>
    </row>
    <row r="12" spans="1:35" x14ac:dyDescent="0.25">
      <c r="AE12" s="216" t="s">
        <v>51</v>
      </c>
      <c r="AF12" s="216">
        <v>11</v>
      </c>
      <c r="AG12" s="230">
        <f>VLOOKUP($AE12,'Lower Limb Angioplasty'!$A:$R,11,FALSE)</f>
        <v>0.41999998688697815</v>
      </c>
      <c r="AH12" s="230">
        <f>VLOOKUP($AE12,'Lower Limb Angioplasty'!$A:$R,17,FALSE)</f>
        <v>8.9999986886978134E-2</v>
      </c>
      <c r="AI12" s="230">
        <f>VLOOKUP($AE12,'Lower Limb Angioplasty'!$A:$R,18,FALSE)</f>
        <v>9.0000013113021859E-2</v>
      </c>
    </row>
    <row r="13" spans="1:35" x14ac:dyDescent="0.25">
      <c r="AE13" s="216" t="s">
        <v>10</v>
      </c>
      <c r="AF13" s="216">
        <v>12</v>
      </c>
      <c r="AG13" s="230">
        <f>VLOOKUP($AE13,'Lower Limb Angioplasty'!$A:$R,11,FALSE)</f>
        <v>0.4699999988079071</v>
      </c>
      <c r="AH13" s="230">
        <f>VLOOKUP($AE13,'Lower Limb Angioplasty'!$A:$R,17,FALSE)</f>
        <v>0.22999999880790711</v>
      </c>
      <c r="AI13" s="230">
        <f>VLOOKUP($AE13,'Lower Limb Angioplasty'!$A:$R,18,FALSE)</f>
        <v>0.24000000119209286</v>
      </c>
    </row>
    <row r="14" spans="1:35" x14ac:dyDescent="0.25">
      <c r="AE14" s="216" t="s">
        <v>60</v>
      </c>
      <c r="AF14" s="216">
        <v>13</v>
      </c>
      <c r="AG14" s="230">
        <f>VLOOKUP($AE14,'Lower Limb Angioplasty'!$A:$R,11,FALSE)</f>
        <v>0.49000000953674316</v>
      </c>
      <c r="AH14" s="230">
        <f>VLOOKUP($AE14,'Lower Limb Angioplasty'!$A:$R,17,FALSE)</f>
        <v>9.0000009536743142E-2</v>
      </c>
      <c r="AI14" s="230">
        <f>VLOOKUP($AE14,'Lower Limb Angioplasty'!$A:$R,18,FALSE)</f>
        <v>9.9999990463256805E-2</v>
      </c>
    </row>
    <row r="15" spans="1:35" x14ac:dyDescent="0.25">
      <c r="AE15" s="216" t="s">
        <v>12</v>
      </c>
      <c r="AF15" s="216">
        <v>14</v>
      </c>
      <c r="AG15" s="230">
        <f>VLOOKUP($AE15,'Lower Limb Angioplasty'!$A:$R,11,FALSE)</f>
        <v>0.5</v>
      </c>
      <c r="AH15" s="230">
        <f>VLOOKUP($AE15,'Lower Limb Angioplasty'!$A:$R,17,FALSE)</f>
        <v>8.0000000000000016E-2</v>
      </c>
      <c r="AI15" s="230">
        <f>VLOOKUP($AE15,'Lower Limb Angioplasty'!$A:$R,18,FALSE)</f>
        <v>7.999999999999996E-2</v>
      </c>
    </row>
    <row r="16" spans="1:35" x14ac:dyDescent="0.25">
      <c r="AE16" s="216" t="s">
        <v>336</v>
      </c>
      <c r="AF16" s="216">
        <v>15</v>
      </c>
      <c r="AG16" s="230">
        <f>VLOOKUP($AE16,'Lower Limb Angioplasty'!$A:$R,11,FALSE)</f>
        <v>0.51999998092651367</v>
      </c>
      <c r="AH16" s="230">
        <f>VLOOKUP($AE16,'Lower Limb Angioplasty'!$A:$R,17,FALSE)</f>
        <v>0.14999998092651368</v>
      </c>
      <c r="AI16" s="230">
        <f>VLOOKUP($AE16,'Lower Limb Angioplasty'!$A:$R,18,FALSE)</f>
        <v>0.15000001907348637</v>
      </c>
    </row>
    <row r="17" spans="2:35" x14ac:dyDescent="0.25">
      <c r="AE17" s="216" t="s">
        <v>25</v>
      </c>
      <c r="AF17" s="216">
        <v>16</v>
      </c>
      <c r="AG17" s="230">
        <f>VLOOKUP($AE17,'Lower Limb Angioplasty'!$A:$R,11,FALSE)</f>
        <v>0.51999998092651367</v>
      </c>
      <c r="AH17" s="230">
        <f>VLOOKUP($AE17,'Lower Limb Angioplasty'!$A:$R,17,FALSE)</f>
        <v>0.13999998092651367</v>
      </c>
      <c r="AI17" s="230">
        <f>VLOOKUP($AE17,'Lower Limb Angioplasty'!$A:$R,18,FALSE)</f>
        <v>0.14000001907348636</v>
      </c>
    </row>
    <row r="18" spans="2:35" x14ac:dyDescent="0.25">
      <c r="AE18" s="216" t="s">
        <v>97</v>
      </c>
      <c r="AF18" s="216">
        <v>17</v>
      </c>
      <c r="AG18" s="230">
        <f>VLOOKUP($AE18,'Lower Limb Angioplasty'!$A:$R,11,FALSE)</f>
        <v>0.51999998092651367</v>
      </c>
      <c r="AH18" s="230">
        <f>VLOOKUP($AE18,'Lower Limb Angioplasty'!$A:$R,17,FALSE)</f>
        <v>0.1099999809265137</v>
      </c>
      <c r="AI18" s="230">
        <f>VLOOKUP($AE18,'Lower Limb Angioplasty'!$A:$R,18,FALSE)</f>
        <v>0.11000001907348633</v>
      </c>
    </row>
    <row r="19" spans="2:35" x14ac:dyDescent="0.25">
      <c r="AE19" s="216" t="s">
        <v>333</v>
      </c>
      <c r="AF19" s="216">
        <v>18</v>
      </c>
      <c r="AG19" s="230">
        <f>VLOOKUP($AE19,'Lower Limb Angioplasty'!$A:$R,11,FALSE)</f>
        <v>0.52999997138977051</v>
      </c>
      <c r="AH19" s="230">
        <f>VLOOKUP($AE19,'Lower Limb Angioplasty'!$A:$R,17,FALSE)</f>
        <v>9.9999971389770514E-2</v>
      </c>
      <c r="AI19" s="230">
        <f>VLOOKUP($AE19,'Lower Limb Angioplasty'!$A:$R,18,FALSE)</f>
        <v>0.1000000286102295</v>
      </c>
    </row>
    <row r="20" spans="2:35" x14ac:dyDescent="0.25">
      <c r="AE20" s="216" t="s">
        <v>85</v>
      </c>
      <c r="AF20" s="216">
        <v>19</v>
      </c>
      <c r="AG20" s="230">
        <f>VLOOKUP($AE20,'Lower Limb Angioplasty'!$A:$R,11,FALSE)</f>
        <v>0.52999997138977051</v>
      </c>
      <c r="AH20" s="230">
        <f>VLOOKUP($AE20,'Lower Limb Angioplasty'!$A:$R,17,FALSE)</f>
        <v>0.16999997138977052</v>
      </c>
      <c r="AI20" s="230">
        <f>VLOOKUP($AE20,'Lower Limb Angioplasty'!$A:$R,18,FALSE)</f>
        <v>0.16000002861022944</v>
      </c>
    </row>
    <row r="21" spans="2:35" x14ac:dyDescent="0.25">
      <c r="AE21" s="216" t="s">
        <v>17</v>
      </c>
      <c r="AF21" s="216">
        <v>20</v>
      </c>
      <c r="AG21" s="230">
        <f>VLOOKUP($AE21,'Lower Limb Angioplasty'!$A:$R,11,FALSE)</f>
        <v>0.54000002145767212</v>
      </c>
      <c r="AH21" s="230">
        <f>VLOOKUP($AE21,'Lower Limb Angioplasty'!$A:$R,17,FALSE)</f>
        <v>0.15000002145767211</v>
      </c>
      <c r="AI21" s="230">
        <f>VLOOKUP($AE21,'Lower Limb Angioplasty'!$A:$R,18,FALSE)</f>
        <v>0.14999997854232783</v>
      </c>
    </row>
    <row r="22" spans="2:35" x14ac:dyDescent="0.25">
      <c r="AE22" s="216" t="s">
        <v>87</v>
      </c>
      <c r="AF22" s="216">
        <v>21</v>
      </c>
      <c r="AG22" s="230">
        <f>VLOOKUP($AE22,'Lower Limb Angioplasty'!$A:$R,11,FALSE)</f>
        <v>0.54000002145767212</v>
      </c>
      <c r="AH22" s="230">
        <f>VLOOKUP($AE22,'Lower Limb Angioplasty'!$A:$R,17,FALSE)</f>
        <v>9.0000021457672108E-2</v>
      </c>
      <c r="AI22" s="230">
        <f>VLOOKUP($AE22,'Lower Limb Angioplasty'!$A:$R,18,FALSE)</f>
        <v>7.9999978542327876E-2</v>
      </c>
    </row>
    <row r="23" spans="2:35" x14ac:dyDescent="0.25">
      <c r="AE23" s="216" t="s">
        <v>77</v>
      </c>
      <c r="AF23" s="216">
        <v>22</v>
      </c>
      <c r="AG23" s="230">
        <f>VLOOKUP($AE23,'Lower Limb Angioplasty'!$A:$R,11,FALSE)</f>
        <v>0.61000001430511475</v>
      </c>
      <c r="AH23" s="230">
        <f>VLOOKUP($AE23,'Lower Limb Angioplasty'!$A:$R,17,FALSE)</f>
        <v>9.0000014305114728E-2</v>
      </c>
      <c r="AI23" s="230">
        <f>VLOOKUP($AE23,'Lower Limb Angioplasty'!$A:$R,18,FALSE)</f>
        <v>8.9999985694885209E-2</v>
      </c>
    </row>
    <row r="24" spans="2:35" x14ac:dyDescent="0.25">
      <c r="AE24" s="216" t="s">
        <v>115</v>
      </c>
      <c r="AF24" s="216">
        <v>23</v>
      </c>
      <c r="AG24" s="230">
        <f>VLOOKUP($AE24,'Lower Limb Angioplasty'!$A:$R,11,FALSE)</f>
        <v>0.61000001430511475</v>
      </c>
      <c r="AH24" s="230">
        <f>VLOOKUP($AE24,'Lower Limb Angioplasty'!$A:$R,17,FALSE)</f>
        <v>8.0000014305114719E-2</v>
      </c>
      <c r="AI24" s="230">
        <f>VLOOKUP($AE24,'Lower Limb Angioplasty'!$A:$R,18,FALSE)</f>
        <v>6.9999985694885303E-2</v>
      </c>
    </row>
    <row r="25" spans="2:35" x14ac:dyDescent="0.25">
      <c r="AE25" s="216" t="s">
        <v>29</v>
      </c>
      <c r="AF25" s="216">
        <v>24</v>
      </c>
      <c r="AG25" s="230">
        <f>VLOOKUP($AE25,'Lower Limb Angioplasty'!$A:$R,11,FALSE)</f>
        <v>0.62999999523162842</v>
      </c>
      <c r="AH25" s="230">
        <f>VLOOKUP($AE25,'Lower Limb Angioplasty'!$A:$R,17,FALSE)</f>
        <v>9.9999995231628391E-2</v>
      </c>
      <c r="AI25" s="230">
        <f>VLOOKUP($AE25,'Lower Limb Angioplasty'!$A:$R,18,FALSE)</f>
        <v>8.0000004768371547E-2</v>
      </c>
    </row>
    <row r="26" spans="2:35" x14ac:dyDescent="0.25">
      <c r="AE26" s="216" t="s">
        <v>348</v>
      </c>
      <c r="AF26" s="216">
        <v>25</v>
      </c>
      <c r="AG26" s="230">
        <f>VLOOKUP($AE26,'Lower Limb Angioplasty'!$A:$R,11,FALSE)</f>
        <v>0.62999999523162842</v>
      </c>
      <c r="AH26" s="230">
        <f>VLOOKUP($AE26,'Lower Limb Angioplasty'!$A:$R,17,FALSE)</f>
        <v>6.9999995231628365E-2</v>
      </c>
      <c r="AI26" s="230">
        <f>VLOOKUP($AE26,'Lower Limb Angioplasty'!$A:$R,18,FALSE)</f>
        <v>6.0000004768371529E-2</v>
      </c>
    </row>
    <row r="27" spans="2:35" x14ac:dyDescent="0.25">
      <c r="AE27" s="216" t="s">
        <v>92</v>
      </c>
      <c r="AF27" s="216">
        <v>26</v>
      </c>
      <c r="AG27" s="230">
        <f>VLOOKUP($AE27,'Lower Limb Angioplasty'!$A:$R,11,FALSE)</f>
        <v>0.62999999523162842</v>
      </c>
      <c r="AH27" s="230">
        <f>VLOOKUP($AE27,'Lower Limb Angioplasty'!$A:$R,17,FALSE)</f>
        <v>8.9999995231628382E-2</v>
      </c>
      <c r="AI27" s="230">
        <f>VLOOKUP($AE27,'Lower Limb Angioplasty'!$A:$R,18,FALSE)</f>
        <v>9.0000004768371555E-2</v>
      </c>
    </row>
    <row r="28" spans="2:35" ht="15.75" thickBot="1" x14ac:dyDescent="0.3">
      <c r="AE28" s="216" t="s">
        <v>75</v>
      </c>
      <c r="AF28" s="216">
        <v>27</v>
      </c>
      <c r="AG28" s="230">
        <f>VLOOKUP($AE28,'Lower Limb Angioplasty'!$A:$R,11,FALSE)</f>
        <v>0.63999998569488525</v>
      </c>
      <c r="AH28" s="230">
        <f>VLOOKUP($AE28,'Lower Limb Angioplasty'!$A:$R,17,FALSE)</f>
        <v>0.22999998569488528</v>
      </c>
      <c r="AI28" s="230">
        <f>VLOOKUP($AE28,'Lower Limb Angioplasty'!$A:$R,18,FALSE)</f>
        <v>0.19000001430511471</v>
      </c>
    </row>
    <row r="29" spans="2:35" ht="105.75" thickBot="1" x14ac:dyDescent="0.3">
      <c r="B29" s="14" t="s">
        <v>139</v>
      </c>
      <c r="C29" s="14" t="s">
        <v>140</v>
      </c>
      <c r="D29" s="30" t="s">
        <v>732</v>
      </c>
      <c r="E29" s="30" t="s">
        <v>733</v>
      </c>
      <c r="F29" s="31" t="s">
        <v>734</v>
      </c>
      <c r="G29" s="14" t="s">
        <v>735</v>
      </c>
      <c r="H29" s="30" t="s">
        <v>736</v>
      </c>
      <c r="I29" s="31" t="s">
        <v>737</v>
      </c>
      <c r="AE29" s="216" t="s">
        <v>119</v>
      </c>
      <c r="AF29" s="216">
        <v>28</v>
      </c>
      <c r="AG29" s="230">
        <f>VLOOKUP($AE29,'Lower Limb Angioplasty'!$A:$R,11,FALSE)</f>
        <v>0.63999998569488525</v>
      </c>
      <c r="AH29" s="230">
        <f>VLOOKUP($AE29,'Lower Limb Angioplasty'!$A:$R,17,FALSE)</f>
        <v>7.9999985694885201E-2</v>
      </c>
      <c r="AI29" s="230">
        <f>VLOOKUP($AE29,'Lower Limb Angioplasty'!$A:$R,18,FALSE)</f>
        <v>7.0000014305114711E-2</v>
      </c>
    </row>
    <row r="30" spans="2:35" ht="15.75" thickBot="1" x14ac:dyDescent="0.3">
      <c r="B30" s="16" t="str">
        <f>B1</f>
        <v>Aneurin Bevan University Health Board</v>
      </c>
      <c r="C30" s="18" t="str">
        <f>VLOOKUP($B30,'Lower Limb Angioplasty'!$B:$M,12,FALSE)</f>
        <v>7A6</v>
      </c>
      <c r="D30" s="18">
        <f>VLOOKUP($B30,'Lower Limb Angioplasty'!$B:$M,5,FALSE)</f>
        <v>38</v>
      </c>
      <c r="E30" s="18">
        <f>VLOOKUP($B30,'Lower Limb Angioplasty'!$B:$M,2,FALSE)</f>
        <v>111</v>
      </c>
      <c r="F30" s="19">
        <f>VLOOKUP($B30,'Lower Limb Angioplasty'!$B:$M,10,FALSE)</f>
        <v>0.75</v>
      </c>
      <c r="G30" s="17" t="str">
        <f>VLOOKUP($B30,'Lower Limb Angioplasty'!$B:$M,6,FALSE)</f>
        <v>0 (0 - 1)</v>
      </c>
      <c r="H30" s="20">
        <f>VLOOKUP($B30,'Lower Limb Angioplasty'!$B:$M,11,FALSE)</f>
        <v>1.0208217427134514E-2</v>
      </c>
      <c r="I30" s="19">
        <f>VLOOKUP($B30,'Lower Limb Angioplasty'!$B:$M,8,FALSE)</f>
        <v>0.12999999523162842</v>
      </c>
      <c r="AE30" s="210" t="s">
        <v>137</v>
      </c>
      <c r="AF30" s="216">
        <v>29</v>
      </c>
      <c r="AG30" s="230">
        <f>VLOOKUP($AE30,'Lower Limb Angioplasty'!$A:$R,11,FALSE)</f>
        <v>0.6600000262260437</v>
      </c>
      <c r="AH30" s="230">
        <f>VLOOKUP($AE30,'Lower Limb Angioplasty'!$A:$R,17,FALSE)</f>
        <v>9.000002622604375E-2</v>
      </c>
      <c r="AI30" s="230">
        <f>VLOOKUP($AE30,'Lower Limb Angioplasty'!$A:$R,18,FALSE)</f>
        <v>8.9999973773956299E-2</v>
      </c>
    </row>
    <row r="31" spans="2:35" ht="15.75" thickBot="1" x14ac:dyDescent="0.3">
      <c r="B31" s="241" t="s">
        <v>230</v>
      </c>
      <c r="C31" s="241"/>
      <c r="D31" s="34">
        <v>8031</v>
      </c>
      <c r="E31" s="34">
        <v>21819</v>
      </c>
      <c r="F31" s="68">
        <v>0.61</v>
      </c>
      <c r="G31" s="158" t="s">
        <v>883</v>
      </c>
      <c r="H31" s="77">
        <v>1.9E-2</v>
      </c>
      <c r="I31" s="159">
        <v>0.107</v>
      </c>
      <c r="AE31" s="216" t="s">
        <v>41</v>
      </c>
      <c r="AF31" s="216">
        <v>30</v>
      </c>
      <c r="AG31" s="230">
        <f>VLOOKUP($AE31,'Lower Limb Angioplasty'!$A:$R,11,FALSE)</f>
        <v>0.67000001668930054</v>
      </c>
      <c r="AH31" s="230">
        <f>VLOOKUP($AE31,'Lower Limb Angioplasty'!$A:$R,17,FALSE)</f>
        <v>0.21000001668930052</v>
      </c>
      <c r="AI31" s="230">
        <f>VLOOKUP($AE31,'Lower Limb Angioplasty'!$A:$R,18,FALSE)</f>
        <v>0.15999998331069942</v>
      </c>
    </row>
    <row r="32" spans="2:35" x14ac:dyDescent="0.25">
      <c r="AE32" s="216" t="s">
        <v>56</v>
      </c>
      <c r="AF32" s="216">
        <v>31</v>
      </c>
      <c r="AG32" s="230">
        <f>VLOOKUP($AE32,'Lower Limb Angioplasty'!$A:$R,11,FALSE)</f>
        <v>0.68999999761581421</v>
      </c>
      <c r="AH32" s="230">
        <f>VLOOKUP($AE32,'Lower Limb Angioplasty'!$A:$R,17,FALSE)</f>
        <v>0.27999999761581423</v>
      </c>
      <c r="AI32" s="230">
        <f>VLOOKUP($AE32,'Lower Limb Angioplasty'!$A:$R,18,FALSE)</f>
        <v>0.2000000023841858</v>
      </c>
    </row>
    <row r="33" spans="31:35" x14ac:dyDescent="0.25">
      <c r="AE33" s="216" t="s">
        <v>96</v>
      </c>
      <c r="AF33" s="216">
        <v>32</v>
      </c>
      <c r="AG33" s="230">
        <f>VLOOKUP($AE33,'Lower Limb Angioplasty'!$A:$R,11,FALSE)</f>
        <v>0.69999998807907104</v>
      </c>
      <c r="AH33" s="230">
        <f>VLOOKUP($AE33,'Lower Limb Angioplasty'!$A:$R,17,FALSE)</f>
        <v>5.9999988079071032E-2</v>
      </c>
      <c r="AI33" s="230">
        <f>VLOOKUP($AE33,'Lower Limb Angioplasty'!$A:$R,18,FALSE)</f>
        <v>6.0000011920928964E-2</v>
      </c>
    </row>
    <row r="34" spans="31:35" x14ac:dyDescent="0.25">
      <c r="AE34" s="216" t="s">
        <v>49</v>
      </c>
      <c r="AF34" s="216">
        <v>33</v>
      </c>
      <c r="AG34" s="230">
        <f>VLOOKUP($AE34,'Lower Limb Angioplasty'!$A:$R,11,FALSE)</f>
        <v>0.70999997854232788</v>
      </c>
      <c r="AH34" s="230">
        <f>VLOOKUP($AE34,'Lower Limb Angioplasty'!$A:$R,17,FALSE)</f>
        <v>9.9999978542327894E-2</v>
      </c>
      <c r="AI34" s="230">
        <f>VLOOKUP($AE34,'Lower Limb Angioplasty'!$A:$R,18,FALSE)</f>
        <v>8.0000021457672155E-2</v>
      </c>
    </row>
    <row r="35" spans="31:35" x14ac:dyDescent="0.25">
      <c r="AE35" s="216" t="s">
        <v>8</v>
      </c>
      <c r="AF35" s="216">
        <v>34</v>
      </c>
      <c r="AG35" s="230">
        <f>VLOOKUP($AE35,'Lower Limb Angioplasty'!$A:$R,11,FALSE)</f>
        <v>0.72000002861022949</v>
      </c>
      <c r="AH35" s="230">
        <f>VLOOKUP($AE35,'Lower Limb Angioplasty'!$A:$R,17,FALSE)</f>
        <v>0.11000002861022951</v>
      </c>
      <c r="AI35" s="230">
        <f>VLOOKUP($AE35,'Lower Limb Angioplasty'!$A:$R,18,FALSE)</f>
        <v>8.9999971389770561E-2</v>
      </c>
    </row>
    <row r="36" spans="31:35" x14ac:dyDescent="0.25">
      <c r="AE36" s="216" t="s">
        <v>113</v>
      </c>
      <c r="AF36" s="216">
        <v>35</v>
      </c>
      <c r="AG36" s="230">
        <f>VLOOKUP($AE36,'Lower Limb Angioplasty'!$A:$R,11,FALSE)</f>
        <v>0.72000002861022949</v>
      </c>
      <c r="AH36" s="230">
        <f>VLOOKUP($AE36,'Lower Limb Angioplasty'!$A:$R,17,FALSE)</f>
        <v>8.0000028610229479E-2</v>
      </c>
      <c r="AI36" s="230">
        <f>VLOOKUP($AE36,'Lower Limb Angioplasty'!$A:$R,18,FALSE)</f>
        <v>6.9999971389770543E-2</v>
      </c>
    </row>
    <row r="37" spans="31:35" x14ac:dyDescent="0.25">
      <c r="AE37" s="216" t="s">
        <v>37</v>
      </c>
      <c r="AF37" s="216">
        <v>36</v>
      </c>
      <c r="AG37" s="230">
        <f>VLOOKUP($AE37,'Lower Limb Angioplasty'!$A:$R,11,FALSE)</f>
        <v>0.74000000953674316</v>
      </c>
      <c r="AH37" s="230">
        <f>VLOOKUP($AE37,'Lower Limb Angioplasty'!$A:$R,17,FALSE)</f>
        <v>0.11000000953674316</v>
      </c>
      <c r="AI37" s="230">
        <f>VLOOKUP($AE37,'Lower Limb Angioplasty'!$A:$R,18,FALSE)</f>
        <v>8.9999990463256796E-2</v>
      </c>
    </row>
    <row r="38" spans="31:35" x14ac:dyDescent="0.25">
      <c r="AE38" s="216" t="s">
        <v>6</v>
      </c>
      <c r="AF38" s="216">
        <v>37</v>
      </c>
      <c r="AG38" s="230">
        <f>VLOOKUP($AE38,'Lower Limb Angioplasty'!$A:$R,11,FALSE)</f>
        <v>0.75</v>
      </c>
      <c r="AH38" s="230">
        <f>VLOOKUP($AE38,'Lower Limb Angioplasty'!$A:$R,17,FALSE)</f>
        <v>0.17000000000000004</v>
      </c>
      <c r="AI38" s="230">
        <f>VLOOKUP($AE38,'Lower Limb Angioplasty'!$A:$R,18,FALSE)</f>
        <v>0.13</v>
      </c>
    </row>
    <row r="39" spans="31:35" x14ac:dyDescent="0.25">
      <c r="AE39" s="216" t="s">
        <v>64</v>
      </c>
      <c r="AF39" s="216">
        <v>38</v>
      </c>
      <c r="AG39" s="230">
        <f>VLOOKUP($AE39,'Lower Limb Angioplasty'!$A:$R,11,FALSE)</f>
        <v>0.75</v>
      </c>
      <c r="AH39" s="230">
        <f>VLOOKUP($AE39,'Lower Limb Angioplasty'!$A:$R,17,FALSE)</f>
        <v>0.10999999999999999</v>
      </c>
      <c r="AI39" s="230">
        <f>VLOOKUP($AE39,'Lower Limb Angioplasty'!$A:$R,18,FALSE)</f>
        <v>8.9999999999999969E-2</v>
      </c>
    </row>
    <row r="40" spans="31:35" x14ac:dyDescent="0.25">
      <c r="AE40" s="216" t="s">
        <v>2</v>
      </c>
      <c r="AF40" s="216">
        <v>39</v>
      </c>
      <c r="AG40" s="230">
        <f>VLOOKUP($AE40,'Lower Limb Angioplasty'!$A:$R,11,FALSE)</f>
        <v>0.75999999046325684</v>
      </c>
      <c r="AH40" s="230">
        <f>VLOOKUP($AE40,'Lower Limb Angioplasty'!$A:$R,17,FALSE)</f>
        <v>0.15999999046325686</v>
      </c>
      <c r="AI40" s="230">
        <f>VLOOKUP($AE40,'Lower Limb Angioplasty'!$A:$R,18,FALSE)</f>
        <v>0.13000000953674318</v>
      </c>
    </row>
    <row r="41" spans="31:35" x14ac:dyDescent="0.25">
      <c r="AE41" s="216" t="s">
        <v>30</v>
      </c>
      <c r="AF41" s="216">
        <v>40</v>
      </c>
      <c r="AG41" s="230">
        <f>VLOOKUP($AE41,'Lower Limb Angioplasty'!$A:$R,11,FALSE)</f>
        <v>0.75999999046325684</v>
      </c>
      <c r="AH41" s="230">
        <f>VLOOKUP($AE41,'Lower Limb Angioplasty'!$A:$R,17,FALSE)</f>
        <v>0.11999999046325682</v>
      </c>
      <c r="AI41" s="230">
        <f>VLOOKUP($AE41,'Lower Limb Angioplasty'!$A:$R,18,FALSE)</f>
        <v>0.10000000953674315</v>
      </c>
    </row>
    <row r="42" spans="31:35" x14ac:dyDescent="0.25">
      <c r="AE42" s="216" t="s">
        <v>35</v>
      </c>
      <c r="AF42" s="216">
        <v>41</v>
      </c>
      <c r="AG42" s="230">
        <f>VLOOKUP($AE42,'Lower Limb Angioplasty'!$A:$R,11,FALSE)</f>
        <v>0.76999998092651367</v>
      </c>
      <c r="AH42" s="230">
        <f>VLOOKUP($AE42,'Lower Limb Angioplasty'!$A:$R,17,FALSE)</f>
        <v>0.13999998092651367</v>
      </c>
      <c r="AI42" s="230">
        <f>VLOOKUP($AE42,'Lower Limb Angioplasty'!$A:$R,18,FALSE)</f>
        <v>0.11000001907348633</v>
      </c>
    </row>
    <row r="43" spans="31:35" x14ac:dyDescent="0.25">
      <c r="AE43" s="216" t="s">
        <v>43</v>
      </c>
      <c r="AF43" s="216">
        <v>42</v>
      </c>
      <c r="AG43" s="230">
        <f>VLOOKUP($AE43,'Lower Limb Angioplasty'!$A:$R,11,FALSE)</f>
        <v>0.76999998092651367</v>
      </c>
      <c r="AH43" s="230">
        <f>VLOOKUP($AE43,'Lower Limb Angioplasty'!$A:$R,17,FALSE)</f>
        <v>0.11999998092651365</v>
      </c>
      <c r="AI43" s="230">
        <f>VLOOKUP($AE43,'Lower Limb Angioplasty'!$A:$R,18,FALSE)</f>
        <v>9.0000019073486315E-2</v>
      </c>
    </row>
    <row r="44" spans="31:35" x14ac:dyDescent="0.25">
      <c r="AE44" s="216" t="s">
        <v>27</v>
      </c>
      <c r="AF44" s="216">
        <v>43</v>
      </c>
      <c r="AG44" s="230">
        <f>VLOOKUP($AE44,'Lower Limb Angioplasty'!$A:$R,11,FALSE)</f>
        <v>0.80000001192092896</v>
      </c>
      <c r="AH44" s="230">
        <f>VLOOKUP($AE44,'Lower Limb Angioplasty'!$A:$R,17,FALSE)</f>
        <v>9.0000011920928991E-2</v>
      </c>
      <c r="AI44" s="230">
        <f>VLOOKUP($AE44,'Lower Limb Angioplasty'!$A:$R,18,FALSE)</f>
        <v>6.999998807907104E-2</v>
      </c>
    </row>
    <row r="45" spans="31:35" x14ac:dyDescent="0.25">
      <c r="AE45" s="216" t="s">
        <v>83</v>
      </c>
      <c r="AF45" s="216">
        <v>44</v>
      </c>
      <c r="AG45" s="230">
        <f>VLOOKUP($AE45,'Lower Limb Angioplasty'!$A:$R,11,FALSE)</f>
        <v>0.81999999284744263</v>
      </c>
      <c r="AH45" s="230">
        <f>VLOOKUP($AE45,'Lower Limb Angioplasty'!$A:$R,17,FALSE)</f>
        <v>5.9999992847442618E-2</v>
      </c>
      <c r="AI45" s="230">
        <f>VLOOKUP($AE45,'Lower Limb Angioplasty'!$A:$R,18,FALSE)</f>
        <v>5.0000007152557369E-2</v>
      </c>
    </row>
    <row r="46" spans="31:35" x14ac:dyDescent="0.25">
      <c r="AE46" s="216" t="s">
        <v>103</v>
      </c>
      <c r="AF46" s="216">
        <v>45</v>
      </c>
      <c r="AG46" s="230">
        <f>VLOOKUP($AE46,'Lower Limb Angioplasty'!$A:$R,11,FALSE)</f>
        <v>0.81999999284744263</v>
      </c>
      <c r="AH46" s="230">
        <f>VLOOKUP($AE46,'Lower Limb Angioplasty'!$A:$R,17,FALSE)</f>
        <v>0.18999999284744262</v>
      </c>
      <c r="AI46" s="230">
        <f>VLOOKUP($AE46,'Lower Limb Angioplasty'!$A:$R,18,FALSE)</f>
        <v>0.12000000715255732</v>
      </c>
    </row>
    <row r="47" spans="31:35" x14ac:dyDescent="0.25">
      <c r="AE47" s="216" t="s">
        <v>299</v>
      </c>
      <c r="AF47" s="216">
        <v>46</v>
      </c>
      <c r="AG47" s="230">
        <f>VLOOKUP($AE47,'Lower Limb Angioplasty'!$A:$R,11,FALSE)</f>
        <v>0.82999998331069946</v>
      </c>
      <c r="AH47" s="230">
        <f>VLOOKUP($AE47,'Lower Limb Angioplasty'!$A:$R,17,FALSE)</f>
        <v>0.30999998331069945</v>
      </c>
      <c r="AI47" s="230">
        <f>VLOOKUP($AE47,'Lower Limb Angioplasty'!$A:$R,18,FALSE)</f>
        <v>0.15000001668930052</v>
      </c>
    </row>
    <row r="48" spans="31:35" x14ac:dyDescent="0.25">
      <c r="AE48" s="210" t="s">
        <v>22</v>
      </c>
      <c r="AF48" s="216">
        <v>47</v>
      </c>
      <c r="AG48" s="230">
        <f>VLOOKUP($AE48,'Lower Limb Angioplasty'!$A:$R,11,FALSE)</f>
        <v>0.8399999737739563</v>
      </c>
      <c r="AH48" s="230">
        <f>VLOOKUP($AE48,'Lower Limb Angioplasty'!$A:$R,17,FALSE)</f>
        <v>6.9999973773956281E-2</v>
      </c>
      <c r="AI48" s="230">
        <f>VLOOKUP($AE48,'Lower Limb Angioplasty'!$A:$R,18,FALSE)</f>
        <v>6.0000026226043723E-2</v>
      </c>
    </row>
    <row r="49" spans="31:35" x14ac:dyDescent="0.25">
      <c r="AE49" s="216" t="s">
        <v>117</v>
      </c>
      <c r="AF49" s="216">
        <v>48</v>
      </c>
      <c r="AG49" s="230">
        <f>VLOOKUP($AE49,'Lower Limb Angioplasty'!$A:$R,11,FALSE)</f>
        <v>0.8399999737739563</v>
      </c>
      <c r="AH49" s="230">
        <f>VLOOKUP($AE49,'Lower Limb Angioplasty'!$A:$R,17,FALSE)</f>
        <v>6.9999973773956281E-2</v>
      </c>
      <c r="AI49" s="230">
        <f>VLOOKUP($AE49,'Lower Limb Angioplasty'!$A:$R,18,FALSE)</f>
        <v>6.0000026226043723E-2</v>
      </c>
    </row>
    <row r="50" spans="31:35" x14ac:dyDescent="0.25">
      <c r="AE50" s="216" t="s">
        <v>417</v>
      </c>
      <c r="AF50" s="216">
        <v>49</v>
      </c>
      <c r="AG50" s="230">
        <f>VLOOKUP($AE50,'Lower Limb Angioplasty'!$A:$R,11,FALSE)</f>
        <v>0.86000001430511475</v>
      </c>
      <c r="AH50" s="230">
        <f>VLOOKUP($AE50,'Lower Limb Angioplasty'!$A:$R,17,FALSE)</f>
        <v>8.0000014305114719E-2</v>
      </c>
      <c r="AI50" s="230">
        <f>VLOOKUP($AE50,'Lower Limb Angioplasty'!$A:$R,18,FALSE)</f>
        <v>6.9999985694885303E-2</v>
      </c>
    </row>
    <row r="51" spans="31:35" x14ac:dyDescent="0.25">
      <c r="AE51" s="216" t="s">
        <v>20</v>
      </c>
      <c r="AF51" s="216">
        <v>50</v>
      </c>
      <c r="AG51" s="230">
        <f>VLOOKUP($AE51,'Lower Limb Angioplasty'!$A:$R,11,FALSE)</f>
        <v>0.87000000476837158</v>
      </c>
      <c r="AH51" s="230">
        <f>VLOOKUP($AE51,'Lower Limb Angioplasty'!$A:$R,17,FALSE)</f>
        <v>0.1400000047683716</v>
      </c>
      <c r="AI51" s="230">
        <f>VLOOKUP($AE51,'Lower Limb Angioplasty'!$A:$R,18,FALSE)</f>
        <v>7.9999995231628374E-2</v>
      </c>
    </row>
    <row r="52" spans="31:35" x14ac:dyDescent="0.25">
      <c r="AE52" s="216" t="s">
        <v>433</v>
      </c>
      <c r="AF52" s="216">
        <v>51</v>
      </c>
      <c r="AG52" s="230">
        <f>VLOOKUP($AE52,'Lower Limb Angioplasty'!$A:$R,11,FALSE)</f>
        <v>0.87000000476837158</v>
      </c>
      <c r="AH52" s="230">
        <f>VLOOKUP($AE52,'Lower Limb Angioplasty'!$A:$R,17,FALSE)</f>
        <v>7.0000004768371538E-2</v>
      </c>
      <c r="AI52" s="230">
        <f>VLOOKUP($AE52,'Lower Limb Angioplasty'!$A:$R,18,FALSE)</f>
        <v>4.9999995231628458E-2</v>
      </c>
    </row>
    <row r="53" spans="31:35" x14ac:dyDescent="0.25">
      <c r="AE53" s="216" t="s">
        <v>111</v>
      </c>
      <c r="AF53" s="216">
        <v>52</v>
      </c>
      <c r="AG53" s="230">
        <f>VLOOKUP($AE53,'Lower Limb Angioplasty'!$A:$R,11,FALSE)</f>
        <v>0.87000000476837158</v>
      </c>
      <c r="AH53" s="230">
        <f>VLOOKUP($AE53,'Lower Limb Angioplasty'!$A:$R,17,FALSE)</f>
        <v>0.13000000476837159</v>
      </c>
      <c r="AI53" s="230">
        <f>VLOOKUP($AE53,'Lower Limb Angioplasty'!$A:$R,18,FALSE)</f>
        <v>7.9999995231628374E-2</v>
      </c>
    </row>
    <row r="54" spans="31:35" x14ac:dyDescent="0.25">
      <c r="AE54" s="216" t="s">
        <v>135</v>
      </c>
      <c r="AF54" s="216">
        <v>53</v>
      </c>
      <c r="AG54" s="230">
        <f>VLOOKUP($AE54,'Lower Limb Angioplasty'!$A:$R,11,FALSE)</f>
        <v>0.87000000476837158</v>
      </c>
      <c r="AH54" s="230">
        <f>VLOOKUP($AE54,'Lower Limb Angioplasty'!$A:$R,17,FALSE)</f>
        <v>0.2700000047683716</v>
      </c>
      <c r="AI54" s="230">
        <f>VLOOKUP($AE54,'Lower Limb Angioplasty'!$A:$R,18,FALSE)</f>
        <v>0.1099999952316284</v>
      </c>
    </row>
    <row r="55" spans="31:35" x14ac:dyDescent="0.25">
      <c r="AE55" s="216" t="s">
        <v>429</v>
      </c>
      <c r="AF55" s="216">
        <v>54</v>
      </c>
      <c r="AG55" s="230">
        <f>VLOOKUP($AE55,'Lower Limb Angioplasty'!$A:$R,11,FALSE)</f>
        <v>0.88999998569488525</v>
      </c>
      <c r="AH55" s="230">
        <f>VLOOKUP($AE55,'Lower Limb Angioplasty'!$A:$R,17,FALSE)</f>
        <v>0.10999998569488523</v>
      </c>
      <c r="AI55" s="230">
        <f>VLOOKUP($AE55,'Lower Limb Angioplasty'!$A:$R,18,FALSE)</f>
        <v>6.0000014305114702E-2</v>
      </c>
    </row>
    <row r="56" spans="31:35" x14ac:dyDescent="0.25">
      <c r="AE56" s="216" t="s">
        <v>66</v>
      </c>
      <c r="AF56" s="216">
        <v>55</v>
      </c>
      <c r="AG56" s="230">
        <f>VLOOKUP($AE56,'Lower Limb Angioplasty'!$A:$R,11,FALSE)</f>
        <v>0.9100000262260437</v>
      </c>
      <c r="AH56" s="230">
        <f>VLOOKUP($AE56,'Lower Limb Angioplasty'!$A:$R,17,FALSE)</f>
        <v>6.0000026226043723E-2</v>
      </c>
      <c r="AI56" s="230">
        <f>VLOOKUP($AE56,'Lower Limb Angioplasty'!$A:$R,18,FALSE)</f>
        <v>3.9999973773956254E-2</v>
      </c>
    </row>
    <row r="57" spans="31:35" x14ac:dyDescent="0.25">
      <c r="AE57" s="216" t="s">
        <v>62</v>
      </c>
      <c r="AF57" s="216">
        <v>56</v>
      </c>
      <c r="AG57" s="230">
        <f>VLOOKUP($AE57,'Lower Limb Angioplasty'!$A:$R,11,FALSE)</f>
        <v>0.93999999761581421</v>
      </c>
      <c r="AH57" s="230">
        <f>VLOOKUP($AE57,'Lower Limb Angioplasty'!$A:$R,17,FALSE)</f>
        <v>0.23999999761581425</v>
      </c>
      <c r="AI57" s="230">
        <f>VLOOKUP($AE57,'Lower Limb Angioplasty'!$A:$R,18,FALSE)</f>
        <v>6.0000002384185791E-2</v>
      </c>
    </row>
    <row r="58" spans="31:35" x14ac:dyDescent="0.25">
      <c r="AE58" s="216" t="s">
        <v>58</v>
      </c>
      <c r="AF58" s="216">
        <v>57</v>
      </c>
      <c r="AG58" s="230">
        <f>VLOOKUP($AE58,'Lower Limb Angioplasty'!$A:$R,11,FALSE)</f>
        <v>1</v>
      </c>
      <c r="AH58" s="230">
        <f>VLOOKUP($AE58,'Lower Limb Angioplasty'!$A:$R,17,FALSE)</f>
        <v>0.15000000000000002</v>
      </c>
      <c r="AI58" s="230">
        <f>VLOOKUP($AE58,'Lower Limb Angioplasty'!$A:$R,18,FALSE)</f>
        <v>0</v>
      </c>
    </row>
    <row r="59" spans="31:35" x14ac:dyDescent="0.25">
      <c r="AE59" s="216" t="s">
        <v>301</v>
      </c>
      <c r="AF59" s="216">
        <v>58</v>
      </c>
      <c r="AG59" s="230">
        <f>VLOOKUP($AE59,'Lower Limb Angioplasty'!$A:$R,11,FALSE)</f>
        <v>1</v>
      </c>
      <c r="AH59" s="230">
        <f>VLOOKUP($AE59,'Lower Limb Angioplasty'!$A:$R,17,FALSE)</f>
        <v>7.999999999999996E-2</v>
      </c>
      <c r="AI59" s="230">
        <f>VLOOKUP($AE59,'Lower Limb Angioplasty'!$A:$R,18,FALSE)</f>
        <v>0</v>
      </c>
    </row>
    <row r="60" spans="31:35" x14ac:dyDescent="0.25">
      <c r="AE60" s="216" t="s">
        <v>303</v>
      </c>
      <c r="AF60" s="216">
        <v>59</v>
      </c>
      <c r="AG60" s="230">
        <f>VLOOKUP($AE60,'Lower Limb Angioplasty'!$A:$R,11,FALSE)</f>
        <v>1</v>
      </c>
      <c r="AH60" s="230">
        <f>VLOOKUP($AE60,'Lower Limb Angioplasty'!$A:$R,17,FALSE)</f>
        <v>6.9999999999999951E-2</v>
      </c>
      <c r="AI60" s="230">
        <f>VLOOKUP($AE60,'Lower Limb Angioplasty'!$A:$R,18,FALSE)</f>
        <v>0</v>
      </c>
    </row>
    <row r="61" spans="31:35" x14ac:dyDescent="0.25">
      <c r="AG61" s="230"/>
      <c r="AH61" s="230"/>
      <c r="AI61" s="230"/>
    </row>
    <row r="62" spans="31:35" x14ac:dyDescent="0.25">
      <c r="AG62" s="230"/>
      <c r="AH62" s="230"/>
      <c r="AI62" s="230"/>
    </row>
    <row r="63" spans="31:35" x14ac:dyDescent="0.25">
      <c r="AG63" s="230"/>
      <c r="AH63" s="230"/>
      <c r="AI63" s="230"/>
    </row>
    <row r="64" spans="31:35" x14ac:dyDescent="0.25">
      <c r="AG64" s="230"/>
      <c r="AH64" s="230"/>
      <c r="AI64" s="230"/>
    </row>
    <row r="65" spans="33:35" x14ac:dyDescent="0.25">
      <c r="AG65" s="230"/>
      <c r="AH65" s="230"/>
      <c r="AI65" s="230"/>
    </row>
    <row r="66" spans="33:35" x14ac:dyDescent="0.25">
      <c r="AG66" s="230"/>
      <c r="AH66" s="230"/>
      <c r="AI66" s="230"/>
    </row>
    <row r="67" spans="33:35" x14ac:dyDescent="0.25">
      <c r="AG67" s="230"/>
      <c r="AH67" s="230"/>
      <c r="AI67" s="230"/>
    </row>
    <row r="68" spans="33:35" x14ac:dyDescent="0.25">
      <c r="AG68" s="230"/>
      <c r="AH68" s="230"/>
      <c r="AI68" s="230"/>
    </row>
    <row r="69" spans="33:35" x14ac:dyDescent="0.25">
      <c r="AG69" s="230"/>
      <c r="AH69" s="230"/>
      <c r="AI69" s="230"/>
    </row>
    <row r="70" spans="33:35" x14ac:dyDescent="0.25">
      <c r="AG70" s="230"/>
      <c r="AH70" s="230"/>
      <c r="AI70" s="230"/>
    </row>
    <row r="71" spans="33:35" x14ac:dyDescent="0.25">
      <c r="AG71" s="230"/>
      <c r="AH71" s="230"/>
      <c r="AI71" s="230"/>
    </row>
    <row r="72" spans="33:35" x14ac:dyDescent="0.25">
      <c r="AG72" s="230"/>
      <c r="AH72" s="230"/>
      <c r="AI72" s="230"/>
    </row>
    <row r="73" spans="33:35" x14ac:dyDescent="0.25">
      <c r="AG73" s="230"/>
      <c r="AH73" s="230"/>
      <c r="AI73" s="230"/>
    </row>
    <row r="74" spans="33:35" x14ac:dyDescent="0.25">
      <c r="AG74" s="230"/>
      <c r="AH74" s="230"/>
      <c r="AI74" s="230"/>
    </row>
    <row r="75" spans="33:35" x14ac:dyDescent="0.25">
      <c r="AG75" s="230"/>
      <c r="AH75" s="230"/>
      <c r="AI75" s="230"/>
    </row>
    <row r="76" spans="33:35" x14ac:dyDescent="0.25">
      <c r="AG76" s="230"/>
      <c r="AH76" s="230"/>
      <c r="AI76" s="230"/>
    </row>
    <row r="77" spans="33:35" x14ac:dyDescent="0.25">
      <c r="AG77" s="230"/>
      <c r="AH77" s="230"/>
      <c r="AI77" s="230"/>
    </row>
    <row r="78" spans="33:35" x14ac:dyDescent="0.25">
      <c r="AG78" s="230"/>
      <c r="AH78" s="230"/>
      <c r="AI78" s="230"/>
    </row>
    <row r="79" spans="33:35" x14ac:dyDescent="0.25">
      <c r="AG79" s="230"/>
      <c r="AH79" s="230"/>
      <c r="AI79" s="230"/>
    </row>
    <row r="80" spans="33:35" x14ac:dyDescent="0.25">
      <c r="AG80" s="230"/>
      <c r="AH80" s="230"/>
      <c r="AI80" s="230"/>
    </row>
    <row r="81" spans="33:35" x14ac:dyDescent="0.25">
      <c r="AG81" s="230"/>
      <c r="AH81" s="230"/>
      <c r="AI81" s="230"/>
    </row>
    <row r="82" spans="33:35" x14ac:dyDescent="0.25">
      <c r="AG82" s="230"/>
      <c r="AH82" s="230"/>
      <c r="AI82" s="230"/>
    </row>
    <row r="83" spans="33:35" x14ac:dyDescent="0.25">
      <c r="AG83" s="230"/>
      <c r="AH83" s="230"/>
      <c r="AI83" s="230"/>
    </row>
    <row r="84" spans="33:35" x14ac:dyDescent="0.25">
      <c r="AG84" s="230"/>
      <c r="AH84" s="230"/>
      <c r="AI84" s="230"/>
    </row>
    <row r="85" spans="33:35" x14ac:dyDescent="0.25">
      <c r="AG85" s="230"/>
      <c r="AH85" s="230"/>
      <c r="AI85" s="230"/>
    </row>
    <row r="86" spans="33:35" x14ac:dyDescent="0.25">
      <c r="AG86" s="230"/>
      <c r="AH86" s="230"/>
      <c r="AI86" s="230"/>
    </row>
    <row r="87" spans="33:35" x14ac:dyDescent="0.25">
      <c r="AG87" s="230"/>
      <c r="AH87" s="230"/>
      <c r="AI87" s="230"/>
    </row>
    <row r="88" spans="33:35" x14ac:dyDescent="0.25">
      <c r="AG88" s="230"/>
      <c r="AH88" s="230"/>
      <c r="AI88" s="230"/>
    </row>
    <row r="89" spans="33:35" x14ac:dyDescent="0.25">
      <c r="AG89" s="230"/>
      <c r="AH89" s="230"/>
      <c r="AI89" s="230"/>
    </row>
    <row r="90" spans="33:35" x14ac:dyDescent="0.25">
      <c r="AG90" s="230"/>
      <c r="AH90" s="230"/>
      <c r="AI90" s="230"/>
    </row>
    <row r="91" spans="33:35" x14ac:dyDescent="0.25">
      <c r="AG91" s="230"/>
      <c r="AH91" s="230"/>
      <c r="AI91" s="230"/>
    </row>
    <row r="92" spans="33:35" x14ac:dyDescent="0.25">
      <c r="AG92" s="230"/>
      <c r="AH92" s="230"/>
      <c r="AI92" s="230"/>
    </row>
    <row r="93" spans="33:35" x14ac:dyDescent="0.25">
      <c r="AG93" s="230"/>
      <c r="AH93" s="230"/>
      <c r="AI93" s="230"/>
    </row>
    <row r="94" spans="33:35" x14ac:dyDescent="0.25">
      <c r="AG94" s="230"/>
      <c r="AH94" s="230"/>
      <c r="AI94" s="230"/>
    </row>
  </sheetData>
  <mergeCells count="1">
    <mergeCell ref="B31:C31"/>
  </mergeCells>
  <pageMargins left="0.7" right="0.7" top="0.75" bottom="0.75" header="0.3" footer="0.3"/>
  <pageSetup paperSize="9" orientation="landscape" r:id="rId1"/>
  <ignoredErrors>
    <ignoredError sqref="F30"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'Lower Limb Angioplasty'!$B$2:$B$92</xm:f>
          </x14:formula1>
          <xm:sqref>B1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
  <sheetViews>
    <sheetView showGridLines="0" zoomScaleNormal="100" workbookViewId="0">
      <selection activeCell="B1" sqref="B1"/>
    </sheetView>
  </sheetViews>
  <sheetFormatPr defaultRowHeight="15" x14ac:dyDescent="0.25"/>
  <cols>
    <col min="1" max="1" width="12.42578125" bestFit="1" customWidth="1"/>
    <col min="2" max="2" width="71.5703125" bestFit="1" customWidth="1"/>
    <col min="3" max="8" width="15.7109375" customWidth="1"/>
    <col min="9" max="10" width="15.7109375" style="128" customWidth="1"/>
    <col min="11" max="14" width="9.140625" style="128"/>
    <col min="15" max="15" width="37.28515625" style="128" customWidth="1"/>
    <col min="16" max="24" width="9.140625" style="128"/>
    <col min="25" max="33" width="9.140625" style="42"/>
  </cols>
  <sheetData>
    <row r="1" spans="1:8" ht="30.75" customHeight="1" thickBot="1" x14ac:dyDescent="0.3">
      <c r="A1" s="12" t="s">
        <v>229</v>
      </c>
      <c r="B1" s="13" t="s">
        <v>291</v>
      </c>
    </row>
    <row r="2" spans="1:8" ht="15.75" thickBot="1" x14ac:dyDescent="0.3"/>
    <row r="3" spans="1:8" ht="60.75" thickBot="1" x14ac:dyDescent="0.3">
      <c r="B3" s="14" t="s">
        <v>139</v>
      </c>
      <c r="C3" s="14" t="s">
        <v>140</v>
      </c>
      <c r="D3" s="30" t="s">
        <v>732</v>
      </c>
      <c r="E3" s="30" t="s">
        <v>733</v>
      </c>
      <c r="F3" s="14" t="s">
        <v>735</v>
      </c>
      <c r="G3" s="30" t="s">
        <v>738</v>
      </c>
      <c r="H3" s="31" t="s">
        <v>737</v>
      </c>
    </row>
    <row r="4" spans="1:8" ht="15.75" thickBot="1" x14ac:dyDescent="0.3">
      <c r="B4" s="16" t="str">
        <f>B1</f>
        <v>Barking, Havering and Redbridge University Hospitals NHS Trust</v>
      </c>
      <c r="C4" s="32" t="str">
        <f>VLOOKUP($B4,'Lower Limb Bypass'!$B:$K,10,FALSE)</f>
        <v>RF4</v>
      </c>
      <c r="D4" s="32">
        <f>VLOOKUP($B4,'Lower Limb Bypass'!$B:$K,5,FALSE)</f>
        <v>35</v>
      </c>
      <c r="E4" s="32">
        <f>VLOOKUP($B4,'Lower Limb Bypass'!$B:$K,2,FALSE)</f>
        <v>94</v>
      </c>
      <c r="F4" s="17" t="str">
        <f>VLOOKUP($B4,'Lower Limb Bypass'!$B:$K,6,FALSE)</f>
        <v>9 (5-18)</v>
      </c>
      <c r="G4" s="33">
        <f>VLOOKUP($B4,'Lower Limb Bypass'!$B:$K,9,FALSE)</f>
        <v>0.10093709826469421</v>
      </c>
      <c r="H4" s="35">
        <f>VLOOKUP($B4,'Lower Limb Bypass'!$B:$K,8,FALSE)</f>
        <v>0.15999999642372131</v>
      </c>
    </row>
    <row r="5" spans="1:8" ht="15.75" thickBot="1" x14ac:dyDescent="0.3">
      <c r="B5" s="241" t="s">
        <v>230</v>
      </c>
      <c r="C5" s="241"/>
      <c r="D5" s="61">
        <v>6432</v>
      </c>
      <c r="E5" s="61">
        <v>17967</v>
      </c>
      <c r="F5" s="122" t="s">
        <v>488</v>
      </c>
      <c r="G5" s="33">
        <v>0.03</v>
      </c>
      <c r="H5" s="77">
        <v>0.11600000000000001</v>
      </c>
    </row>
  </sheetData>
  <mergeCells count="1">
    <mergeCell ref="B5:C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'Lower Limb Bypass'!$B$2:$B$69</xm:f>
          </x14:formula1>
          <xm:sqref>B1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Introduction</vt:lpstr>
      <vt:lpstr>AAA Summary</vt:lpstr>
      <vt:lpstr>Elective Infra-Renal AAA Repair</vt:lpstr>
      <vt:lpstr>AAA 2022 Report</vt:lpstr>
      <vt:lpstr>LL Revascularisation Summary</vt:lpstr>
      <vt:lpstr>AAA 2021 Report</vt:lpstr>
      <vt:lpstr>LL Revasc Data</vt:lpstr>
      <vt:lpstr>Angioplasty Summary</vt:lpstr>
      <vt:lpstr>Bypass Summary</vt:lpstr>
      <vt:lpstr>Amputation Summary</vt:lpstr>
      <vt:lpstr>CEA Summary</vt:lpstr>
      <vt:lpstr>Lower Limb Bypass</vt:lpstr>
      <vt:lpstr>Lower Limb Angioplasty</vt:lpstr>
      <vt:lpstr>Major Lower Limb Amputation</vt:lpstr>
      <vt:lpstr>Amp Funnel</vt:lpstr>
      <vt:lpstr>Bypass Funnel</vt:lpstr>
      <vt:lpstr>Angio Funnel</vt:lpstr>
      <vt:lpstr>Carotid Endarterectomy</vt:lpstr>
      <vt:lpstr>CEA Limits</vt:lpstr>
      <vt:lpstr>CEA Funnel</vt:lpstr>
      <vt:lpstr>AAA Limits</vt:lpstr>
      <vt:lpstr>AAA Funnel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2019-09-16T10:41:18Z</dcterms:created>
  <dcterms:modified xsi:type="dcterms:W3CDTF">2023-12-01T15:36:22Z</dcterms:modified>
</cp:coreProperties>
</file>